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ocuments\1 - Finance Business\1 - Video and Post Planning - Finance\Side Hustles\Lime Juicing\"/>
    </mc:Choice>
  </mc:AlternateContent>
  <xr:revisionPtr revIDLastSave="0" documentId="13_ncr:1_{180960E7-989F-4598-8533-4ED2F7BC72F4}" xr6:coauthVersionLast="47" xr6:coauthVersionMax="47" xr10:uidLastSave="{00000000-0000-0000-0000-000000000000}"/>
  <bookViews>
    <workbookView xWindow="-108" yWindow="-108" windowWidth="23256" windowHeight="12576" activeTab="3" xr2:uid="{144ED881-D004-426A-926D-EE9C515BACB1}"/>
  </bookViews>
  <sheets>
    <sheet name="Breakdown #1" sheetId="17" r:id="rId1"/>
    <sheet name="Breakdown #2" sheetId="18" r:id="rId2"/>
    <sheet name="Breakdown #3" sheetId="19" r:id="rId3"/>
    <sheet name="Total Breakdown" sheetId="20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0" l="1"/>
  <c r="H22" i="20"/>
  <c r="G22" i="20"/>
  <c r="D22" i="20"/>
  <c r="C22" i="20"/>
  <c r="B22" i="20"/>
  <c r="I21" i="20"/>
  <c r="H21" i="20"/>
  <c r="G21" i="20"/>
  <c r="D21" i="20"/>
  <c r="C21" i="20"/>
  <c r="B21" i="20"/>
  <c r="I20" i="20"/>
  <c r="H20" i="20"/>
  <c r="G20" i="20"/>
  <c r="D20" i="20"/>
  <c r="C20" i="20"/>
  <c r="B20" i="20"/>
  <c r="I19" i="20"/>
  <c r="H19" i="20"/>
  <c r="G19" i="20"/>
  <c r="D19" i="20"/>
  <c r="C19" i="20"/>
  <c r="B19" i="20"/>
  <c r="I18" i="20"/>
  <c r="H18" i="20"/>
  <c r="G18" i="20"/>
  <c r="D18" i="20"/>
  <c r="C18" i="20"/>
  <c r="B18" i="20"/>
  <c r="I15" i="20"/>
  <c r="H15" i="20"/>
  <c r="G15" i="20"/>
  <c r="D15" i="20"/>
  <c r="C15" i="20"/>
  <c r="B15" i="20"/>
  <c r="I14" i="20"/>
  <c r="H14" i="20"/>
  <c r="G14" i="20"/>
  <c r="D14" i="20"/>
  <c r="C14" i="20"/>
  <c r="B14" i="20"/>
  <c r="I13" i="20"/>
  <c r="H13" i="20"/>
  <c r="G13" i="20"/>
  <c r="D13" i="20"/>
  <c r="C13" i="20"/>
  <c r="B13" i="20"/>
  <c r="I12" i="20"/>
  <c r="H12" i="20"/>
  <c r="G12" i="20"/>
  <c r="D12" i="20"/>
  <c r="C12" i="20"/>
  <c r="B12" i="20"/>
  <c r="I11" i="20"/>
  <c r="H11" i="20"/>
  <c r="G11" i="20"/>
  <c r="D11" i="20"/>
  <c r="C11" i="20"/>
  <c r="B11" i="20"/>
  <c r="I8" i="20"/>
  <c r="H8" i="20"/>
  <c r="G8" i="20"/>
  <c r="D8" i="20"/>
  <c r="C8" i="20"/>
  <c r="B8" i="20"/>
  <c r="I7" i="20"/>
  <c r="H7" i="20"/>
  <c r="G7" i="20"/>
  <c r="D7" i="20"/>
  <c r="C7" i="20"/>
  <c r="B7" i="20"/>
  <c r="I6" i="20"/>
  <c r="H6" i="20"/>
  <c r="G6" i="20"/>
  <c r="D6" i="20"/>
  <c r="C6" i="20"/>
  <c r="B6" i="20"/>
  <c r="I5" i="20"/>
  <c r="H5" i="20"/>
  <c r="G5" i="20"/>
  <c r="D5" i="20"/>
  <c r="C5" i="20"/>
  <c r="B5" i="20"/>
  <c r="I4" i="20"/>
  <c r="H4" i="20"/>
  <c r="G4" i="20"/>
  <c r="D4" i="20"/>
  <c r="C4" i="20"/>
  <c r="B4" i="20"/>
  <c r="B35" i="19"/>
  <c r="H34" i="19"/>
  <c r="H38" i="19" s="1"/>
  <c r="X33" i="19"/>
  <c r="X34" i="19" s="1"/>
  <c r="W33" i="19"/>
  <c r="W34" i="19" s="1"/>
  <c r="V33" i="19"/>
  <c r="V34" i="19" s="1"/>
  <c r="N33" i="19"/>
  <c r="H33" i="19"/>
  <c r="S32" i="19"/>
  <c r="Q32" i="19"/>
  <c r="N32" i="19"/>
  <c r="N34" i="19" s="1"/>
  <c r="N38" i="19" s="1"/>
  <c r="M32" i="19"/>
  <c r="M33" i="19" s="1"/>
  <c r="L32" i="19"/>
  <c r="L33" i="19" s="1"/>
  <c r="L34" i="19" s="1"/>
  <c r="L38" i="19" s="1"/>
  <c r="I32" i="19"/>
  <c r="I33" i="19" s="1"/>
  <c r="H32" i="19"/>
  <c r="G32" i="19"/>
  <c r="C32" i="19"/>
  <c r="C36" i="19" s="1"/>
  <c r="S31" i="19"/>
  <c r="S33" i="19" s="1"/>
  <c r="S37" i="19" s="1"/>
  <c r="R31" i="19"/>
  <c r="R32" i="19" s="1"/>
  <c r="R33" i="19" s="1"/>
  <c r="R37" i="19" s="1"/>
  <c r="Q31" i="19"/>
  <c r="Q33" i="19" s="1"/>
  <c r="Q37" i="19" s="1"/>
  <c r="C31" i="19"/>
  <c r="B31" i="19"/>
  <c r="D30" i="19"/>
  <c r="D31" i="19" s="1"/>
  <c r="C30" i="19"/>
  <c r="B30" i="19"/>
  <c r="B32" i="19" s="1"/>
  <c r="B36" i="19" s="1"/>
  <c r="V29" i="19"/>
  <c r="D27" i="19"/>
  <c r="D35" i="19" s="1"/>
  <c r="C27" i="19"/>
  <c r="C35" i="19" s="1"/>
  <c r="B27" i="19"/>
  <c r="V25" i="19"/>
  <c r="L24" i="19"/>
  <c r="G24" i="19"/>
  <c r="Q23" i="19"/>
  <c r="Q27" i="19" s="1"/>
  <c r="Q28" i="19" s="1"/>
  <c r="Q36" i="19" s="1"/>
  <c r="Q38" i="19" s="1"/>
  <c r="V14" i="19"/>
  <c r="V18" i="19" s="1"/>
  <c r="V19" i="19" s="1"/>
  <c r="V28" i="19" s="1"/>
  <c r="V30" i="19" s="1"/>
  <c r="V38" i="19" s="1"/>
  <c r="X12" i="19"/>
  <c r="W12" i="19"/>
  <c r="V12" i="19"/>
  <c r="X11" i="19"/>
  <c r="W11" i="19"/>
  <c r="V11" i="19"/>
  <c r="N11" i="19"/>
  <c r="M11" i="19"/>
  <c r="L11" i="19"/>
  <c r="I11" i="19"/>
  <c r="H11" i="19"/>
  <c r="G11" i="19"/>
  <c r="S10" i="19"/>
  <c r="R10" i="19"/>
  <c r="Q10" i="19"/>
  <c r="N10" i="19"/>
  <c r="M10" i="19"/>
  <c r="L10" i="19"/>
  <c r="I10" i="19"/>
  <c r="H10" i="19"/>
  <c r="G10" i="19"/>
  <c r="X9" i="19"/>
  <c r="X14" i="19" s="1"/>
  <c r="X18" i="19" s="1"/>
  <c r="X19" i="19" s="1"/>
  <c r="W9" i="19"/>
  <c r="W14" i="19" s="1"/>
  <c r="W18" i="19" s="1"/>
  <c r="W19" i="19" s="1"/>
  <c r="V9" i="19"/>
  <c r="S9" i="19"/>
  <c r="S12" i="19" s="1"/>
  <c r="S16" i="19" s="1"/>
  <c r="S17" i="19" s="1"/>
  <c r="R9" i="19"/>
  <c r="R12" i="19" s="1"/>
  <c r="R16" i="19" s="1"/>
  <c r="R17" i="19" s="1"/>
  <c r="Q9" i="19"/>
  <c r="Q12" i="19" s="1"/>
  <c r="Q16" i="19" s="1"/>
  <c r="Q17" i="19" s="1"/>
  <c r="Q26" i="19" s="1"/>
  <c r="N9" i="19"/>
  <c r="N13" i="19" s="1"/>
  <c r="N17" i="19" s="1"/>
  <c r="N18" i="19" s="1"/>
  <c r="M9" i="19"/>
  <c r="M13" i="19" s="1"/>
  <c r="M17" i="19" s="1"/>
  <c r="M18" i="19" s="1"/>
  <c r="L9" i="19"/>
  <c r="L13" i="19" s="1"/>
  <c r="L17" i="19" s="1"/>
  <c r="L18" i="19" s="1"/>
  <c r="L27" i="19" s="1"/>
  <c r="L29" i="19" s="1"/>
  <c r="L37" i="19" s="1"/>
  <c r="L39" i="19" s="1"/>
  <c r="I9" i="19"/>
  <c r="I13" i="19" s="1"/>
  <c r="I17" i="19" s="1"/>
  <c r="I18" i="19" s="1"/>
  <c r="H9" i="19"/>
  <c r="H13" i="19" s="1"/>
  <c r="H17" i="19" s="1"/>
  <c r="H18" i="19" s="1"/>
  <c r="G9" i="19"/>
  <c r="G13" i="19" s="1"/>
  <c r="G17" i="19" s="1"/>
  <c r="G18" i="19" s="1"/>
  <c r="G27" i="19" s="1"/>
  <c r="G29" i="19" s="1"/>
  <c r="G37" i="19" s="1"/>
  <c r="D9" i="19"/>
  <c r="D11" i="19" s="1"/>
  <c r="C9" i="19"/>
  <c r="C11" i="19" s="1"/>
  <c r="B9" i="19"/>
  <c r="B11" i="19" s="1"/>
  <c r="X6" i="19"/>
  <c r="W6" i="19"/>
  <c r="V6" i="19"/>
  <c r="S6" i="19"/>
  <c r="R6" i="19"/>
  <c r="Q6" i="19"/>
  <c r="N6" i="19"/>
  <c r="M6" i="19"/>
  <c r="L6" i="19"/>
  <c r="I6" i="19"/>
  <c r="H6" i="19"/>
  <c r="G6" i="19"/>
  <c r="D6" i="19"/>
  <c r="D16" i="19" s="1"/>
  <c r="C6" i="19"/>
  <c r="C16" i="19" s="1"/>
  <c r="B6" i="19"/>
  <c r="B16" i="19" s="1"/>
  <c r="L38" i="18"/>
  <c r="X34" i="18"/>
  <c r="L34" i="18"/>
  <c r="X33" i="18"/>
  <c r="X35" i="18" s="1"/>
  <c r="X39" i="18" s="1"/>
  <c r="W33" i="18"/>
  <c r="W34" i="18" s="1"/>
  <c r="V33" i="18"/>
  <c r="V34" i="18" s="1"/>
  <c r="S33" i="18"/>
  <c r="R33" i="18"/>
  <c r="R34" i="18" s="1"/>
  <c r="R38" i="18" s="1"/>
  <c r="L33" i="18"/>
  <c r="G33" i="18"/>
  <c r="S32" i="18"/>
  <c r="S34" i="18" s="1"/>
  <c r="S38" i="18" s="1"/>
  <c r="R32" i="18"/>
  <c r="Q32" i="18"/>
  <c r="Q33" i="18" s="1"/>
  <c r="N32" i="18"/>
  <c r="N33" i="18" s="1"/>
  <c r="N34" i="18" s="1"/>
  <c r="N38" i="18" s="1"/>
  <c r="M32" i="18"/>
  <c r="M33" i="18" s="1"/>
  <c r="M34" i="18" s="1"/>
  <c r="M38" i="18" s="1"/>
  <c r="L32" i="18"/>
  <c r="I32" i="18"/>
  <c r="H32" i="18"/>
  <c r="G32" i="18"/>
  <c r="G34" i="18" s="1"/>
  <c r="G38" i="18" s="1"/>
  <c r="D31" i="18"/>
  <c r="C31" i="18"/>
  <c r="B31" i="18"/>
  <c r="D30" i="18"/>
  <c r="D32" i="18" s="1"/>
  <c r="D36" i="18" s="1"/>
  <c r="C30" i="18"/>
  <c r="C32" i="18" s="1"/>
  <c r="C36" i="18" s="1"/>
  <c r="B30" i="18"/>
  <c r="B32" i="18" s="1"/>
  <c r="B36" i="18" s="1"/>
  <c r="W29" i="18"/>
  <c r="V29" i="18"/>
  <c r="Q28" i="18"/>
  <c r="G28" i="18"/>
  <c r="W25" i="18"/>
  <c r="V25" i="18"/>
  <c r="R24" i="18"/>
  <c r="R28" i="18" s="1"/>
  <c r="Q24" i="18"/>
  <c r="M24" i="18"/>
  <c r="M28" i="18" s="1"/>
  <c r="L24" i="18"/>
  <c r="L28" i="18" s="1"/>
  <c r="G24" i="18"/>
  <c r="C14" i="18"/>
  <c r="G13" i="18"/>
  <c r="G17" i="18" s="1"/>
  <c r="X12" i="18"/>
  <c r="W12" i="18"/>
  <c r="V12" i="18"/>
  <c r="X11" i="18"/>
  <c r="W11" i="18"/>
  <c r="W14" i="18" s="1"/>
  <c r="W18" i="18" s="1"/>
  <c r="V11" i="18"/>
  <c r="N11" i="18"/>
  <c r="M11" i="18"/>
  <c r="L11" i="18"/>
  <c r="I11" i="18"/>
  <c r="H11" i="18"/>
  <c r="G11" i="18"/>
  <c r="S10" i="18"/>
  <c r="R10" i="18"/>
  <c r="Q10" i="18"/>
  <c r="N10" i="18"/>
  <c r="M10" i="18"/>
  <c r="L10" i="18"/>
  <c r="I10" i="18"/>
  <c r="I13" i="18" s="1"/>
  <c r="I17" i="18" s="1"/>
  <c r="H10" i="18"/>
  <c r="G10" i="18"/>
  <c r="X9" i="18"/>
  <c r="X14" i="18" s="1"/>
  <c r="X18" i="18" s="1"/>
  <c r="W9" i="18"/>
  <c r="V9" i="18"/>
  <c r="V14" i="18" s="1"/>
  <c r="V18" i="18" s="1"/>
  <c r="S9" i="18"/>
  <c r="S12" i="18" s="1"/>
  <c r="S17" i="18" s="1"/>
  <c r="R9" i="18"/>
  <c r="R12" i="18" s="1"/>
  <c r="R17" i="18" s="1"/>
  <c r="Q9" i="18"/>
  <c r="Q12" i="18" s="1"/>
  <c r="Q17" i="18" s="1"/>
  <c r="N9" i="18"/>
  <c r="N13" i="18" s="1"/>
  <c r="N17" i="18" s="1"/>
  <c r="M9" i="18"/>
  <c r="M13" i="18" s="1"/>
  <c r="M17" i="18" s="1"/>
  <c r="L9" i="18"/>
  <c r="L13" i="18" s="1"/>
  <c r="L17" i="18" s="1"/>
  <c r="I9" i="18"/>
  <c r="H9" i="18"/>
  <c r="H13" i="18" s="1"/>
  <c r="H17" i="18" s="1"/>
  <c r="G9" i="18"/>
  <c r="D9" i="18"/>
  <c r="D11" i="18" s="1"/>
  <c r="D15" i="18" s="1"/>
  <c r="C9" i="18"/>
  <c r="C11" i="18" s="1"/>
  <c r="C15" i="18" s="1"/>
  <c r="B9" i="18"/>
  <c r="B11" i="18" s="1"/>
  <c r="B15" i="18" s="1"/>
  <c r="S6" i="18"/>
  <c r="S16" i="18" s="1"/>
  <c r="Q6" i="18"/>
  <c r="Q16" i="18" s="1"/>
  <c r="N6" i="18"/>
  <c r="N16" i="18" s="1"/>
  <c r="N18" i="18" s="1"/>
  <c r="G6" i="18"/>
  <c r="G16" i="18" s="1"/>
  <c r="G18" i="18" s="1"/>
  <c r="G27" i="18" s="1"/>
  <c r="G29" i="18" s="1"/>
  <c r="G37" i="18" s="1"/>
  <c r="G39" i="18" s="1"/>
  <c r="C6" i="18"/>
  <c r="B6" i="18"/>
  <c r="B14" i="18" s="1"/>
  <c r="B16" i="18" s="1"/>
  <c r="X5" i="18"/>
  <c r="X6" i="18" s="1"/>
  <c r="X17" i="18" s="1"/>
  <c r="X19" i="18" s="1"/>
  <c r="W5" i="18"/>
  <c r="W6" i="18" s="1"/>
  <c r="W17" i="18" s="1"/>
  <c r="W19" i="18" s="1"/>
  <c r="W28" i="18" s="1"/>
  <c r="W30" i="18" s="1"/>
  <c r="W38" i="18" s="1"/>
  <c r="V5" i="18"/>
  <c r="V6" i="18" s="1"/>
  <c r="V17" i="18" s="1"/>
  <c r="S5" i="18"/>
  <c r="R5" i="18"/>
  <c r="R6" i="18" s="1"/>
  <c r="R16" i="18" s="1"/>
  <c r="Q5" i="18"/>
  <c r="N5" i="18"/>
  <c r="M5" i="18"/>
  <c r="M6" i="18" s="1"/>
  <c r="M16" i="18" s="1"/>
  <c r="M18" i="18" s="1"/>
  <c r="M27" i="18" s="1"/>
  <c r="M29" i="18" s="1"/>
  <c r="M37" i="18" s="1"/>
  <c r="M39" i="18" s="1"/>
  <c r="L5" i="18"/>
  <c r="L6" i="18" s="1"/>
  <c r="L16" i="18" s="1"/>
  <c r="L18" i="18" s="1"/>
  <c r="L27" i="18" s="1"/>
  <c r="L29" i="18" s="1"/>
  <c r="L37" i="18" s="1"/>
  <c r="L39" i="18" s="1"/>
  <c r="I5" i="18"/>
  <c r="I6" i="18" s="1"/>
  <c r="I16" i="18" s="1"/>
  <c r="H5" i="18"/>
  <c r="H6" i="18" s="1"/>
  <c r="H16" i="18" s="1"/>
  <c r="G5" i="18"/>
  <c r="D5" i="18"/>
  <c r="D6" i="18" s="1"/>
  <c r="D14" i="18" s="1"/>
  <c r="C5" i="18"/>
  <c r="B5" i="18"/>
  <c r="D36" i="17"/>
  <c r="W34" i="17"/>
  <c r="X33" i="17"/>
  <c r="X34" i="17" s="1"/>
  <c r="W33" i="17"/>
  <c r="W35" i="17" s="1"/>
  <c r="W39" i="17" s="1"/>
  <c r="V33" i="17"/>
  <c r="V34" i="17" s="1"/>
  <c r="S33" i="17"/>
  <c r="Q33" i="17"/>
  <c r="L33" i="17"/>
  <c r="G33" i="17"/>
  <c r="S32" i="17"/>
  <c r="S34" i="17" s="1"/>
  <c r="S38" i="17" s="1"/>
  <c r="R32" i="17"/>
  <c r="R33" i="17" s="1"/>
  <c r="Q32" i="17"/>
  <c r="Q34" i="17" s="1"/>
  <c r="Q38" i="17" s="1"/>
  <c r="N32" i="17"/>
  <c r="N33" i="17" s="1"/>
  <c r="N34" i="17" s="1"/>
  <c r="N38" i="17" s="1"/>
  <c r="M32" i="17"/>
  <c r="M33" i="17" s="1"/>
  <c r="M34" i="17" s="1"/>
  <c r="M38" i="17" s="1"/>
  <c r="L32" i="17"/>
  <c r="L34" i="17" s="1"/>
  <c r="L38" i="17" s="1"/>
  <c r="I32" i="17"/>
  <c r="H32" i="17"/>
  <c r="G32" i="17"/>
  <c r="G34" i="17" s="1"/>
  <c r="G38" i="17" s="1"/>
  <c r="D32" i="17"/>
  <c r="D31" i="17"/>
  <c r="C31" i="17"/>
  <c r="B31" i="17"/>
  <c r="D30" i="17"/>
  <c r="C30" i="17"/>
  <c r="C32" i="17" s="1"/>
  <c r="C36" i="17" s="1"/>
  <c r="B30" i="17"/>
  <c r="B32" i="17" s="1"/>
  <c r="B36" i="17" s="1"/>
  <c r="W29" i="17"/>
  <c r="V29" i="17"/>
  <c r="Q28" i="17"/>
  <c r="L28" i="17"/>
  <c r="G28" i="17"/>
  <c r="W25" i="17"/>
  <c r="V25" i="17"/>
  <c r="R24" i="17"/>
  <c r="R28" i="17" s="1"/>
  <c r="Q24" i="17"/>
  <c r="M24" i="17"/>
  <c r="M28" i="17" s="1"/>
  <c r="L24" i="17"/>
  <c r="H24" i="17"/>
  <c r="H28" i="17" s="1"/>
  <c r="G24" i="17"/>
  <c r="I17" i="17"/>
  <c r="S16" i="17"/>
  <c r="W14" i="17"/>
  <c r="W18" i="17" s="1"/>
  <c r="N13" i="17"/>
  <c r="N17" i="17" s="1"/>
  <c r="M13" i="17"/>
  <c r="M17" i="17" s="1"/>
  <c r="I13" i="17"/>
  <c r="X12" i="17"/>
  <c r="W12" i="17"/>
  <c r="V12" i="17"/>
  <c r="S12" i="17"/>
  <c r="S17" i="17" s="1"/>
  <c r="Q12" i="17"/>
  <c r="Q17" i="17" s="1"/>
  <c r="X11" i="17"/>
  <c r="W11" i="17"/>
  <c r="V11" i="17"/>
  <c r="N11" i="17"/>
  <c r="M11" i="17"/>
  <c r="L11" i="17"/>
  <c r="I11" i="17"/>
  <c r="H11" i="17"/>
  <c r="G11" i="17"/>
  <c r="S10" i="17"/>
  <c r="R10" i="17"/>
  <c r="Q10" i="17"/>
  <c r="N10" i="17"/>
  <c r="M10" i="17"/>
  <c r="L10" i="17"/>
  <c r="I10" i="17"/>
  <c r="H10" i="17"/>
  <c r="G10" i="17"/>
  <c r="X9" i="17"/>
  <c r="X14" i="17" s="1"/>
  <c r="X18" i="17" s="1"/>
  <c r="W9" i="17"/>
  <c r="V9" i="17"/>
  <c r="V14" i="17" s="1"/>
  <c r="V18" i="17" s="1"/>
  <c r="S9" i="17"/>
  <c r="R9" i="17"/>
  <c r="R12" i="17" s="1"/>
  <c r="R17" i="17" s="1"/>
  <c r="Q9" i="17"/>
  <c r="N9" i="17"/>
  <c r="M9" i="17"/>
  <c r="L9" i="17"/>
  <c r="L13" i="17" s="1"/>
  <c r="L17" i="17" s="1"/>
  <c r="I9" i="17"/>
  <c r="H9" i="17"/>
  <c r="H13" i="17" s="1"/>
  <c r="H17" i="17" s="1"/>
  <c r="G9" i="17"/>
  <c r="G13" i="17" s="1"/>
  <c r="G17" i="17" s="1"/>
  <c r="D9" i="17"/>
  <c r="D11" i="17" s="1"/>
  <c r="D15" i="17" s="1"/>
  <c r="C9" i="17"/>
  <c r="C11" i="17" s="1"/>
  <c r="C15" i="17" s="1"/>
  <c r="B9" i="17"/>
  <c r="B11" i="17" s="1"/>
  <c r="B15" i="17" s="1"/>
  <c r="X6" i="17"/>
  <c r="X17" i="17" s="1"/>
  <c r="W6" i="17"/>
  <c r="W17" i="17" s="1"/>
  <c r="W19" i="17" s="1"/>
  <c r="W28" i="17" s="1"/>
  <c r="W30" i="17" s="1"/>
  <c r="W38" i="17" s="1"/>
  <c r="W40" i="17" s="1"/>
  <c r="S6" i="17"/>
  <c r="N6" i="17"/>
  <c r="N16" i="17" s="1"/>
  <c r="L6" i="17"/>
  <c r="L16" i="17" s="1"/>
  <c r="L18" i="17" s="1"/>
  <c r="L27" i="17" s="1"/>
  <c r="L29" i="17" s="1"/>
  <c r="L37" i="17" s="1"/>
  <c r="L39" i="17" s="1"/>
  <c r="I6" i="17"/>
  <c r="I16" i="17" s="1"/>
  <c r="I18" i="17" s="1"/>
  <c r="G6" i="17"/>
  <c r="G16" i="17" s="1"/>
  <c r="B6" i="17"/>
  <c r="B14" i="17" s="1"/>
  <c r="B16" i="17" s="1"/>
  <c r="X5" i="17"/>
  <c r="W5" i="17"/>
  <c r="V5" i="17"/>
  <c r="V6" i="17" s="1"/>
  <c r="V17" i="17" s="1"/>
  <c r="S5" i="17"/>
  <c r="R5" i="17"/>
  <c r="R6" i="17" s="1"/>
  <c r="R16" i="17" s="1"/>
  <c r="Q5" i="17"/>
  <c r="Q6" i="17" s="1"/>
  <c r="Q16" i="17" s="1"/>
  <c r="Q18" i="17" s="1"/>
  <c r="Q27" i="17" s="1"/>
  <c r="Q29" i="17" s="1"/>
  <c r="Q37" i="17" s="1"/>
  <c r="Q39" i="17" s="1"/>
  <c r="N5" i="17"/>
  <c r="M5" i="17"/>
  <c r="M6" i="17" s="1"/>
  <c r="M16" i="17" s="1"/>
  <c r="M18" i="17" s="1"/>
  <c r="M27" i="17" s="1"/>
  <c r="M29" i="17" s="1"/>
  <c r="M37" i="17" s="1"/>
  <c r="M39" i="17" s="1"/>
  <c r="L5" i="17"/>
  <c r="I5" i="17"/>
  <c r="H5" i="17"/>
  <c r="H6" i="17" s="1"/>
  <c r="H16" i="17" s="1"/>
  <c r="G5" i="17"/>
  <c r="D5" i="17"/>
  <c r="D6" i="17" s="1"/>
  <c r="D14" i="17" s="1"/>
  <c r="C5" i="17"/>
  <c r="C6" i="17" s="1"/>
  <c r="C14" i="17" s="1"/>
  <c r="C16" i="17" s="1"/>
  <c r="B5" i="17"/>
  <c r="X24" i="19" l="1"/>
  <c r="X22" i="19"/>
  <c r="X25" i="19" s="1"/>
  <c r="X29" i="19" s="1"/>
  <c r="X28" i="19"/>
  <c r="M23" i="19"/>
  <c r="M27" i="19"/>
  <c r="M21" i="19"/>
  <c r="M24" i="19" s="1"/>
  <c r="M28" i="19" s="1"/>
  <c r="M22" i="19"/>
  <c r="I23" i="19"/>
  <c r="I27" i="19"/>
  <c r="I21" i="19"/>
  <c r="I24" i="19" s="1"/>
  <c r="I28" i="19" s="1"/>
  <c r="N27" i="19"/>
  <c r="N21" i="19"/>
  <c r="N24" i="19" s="1"/>
  <c r="N28" i="19" s="1"/>
  <c r="N23" i="19"/>
  <c r="B21" i="19"/>
  <c r="B19" i="19"/>
  <c r="B22" i="19" s="1"/>
  <c r="B20" i="19"/>
  <c r="C21" i="19"/>
  <c r="C19" i="19"/>
  <c r="C22" i="19" s="1"/>
  <c r="C20" i="19"/>
  <c r="R21" i="19"/>
  <c r="R20" i="19"/>
  <c r="R26" i="19"/>
  <c r="R22" i="19"/>
  <c r="C37" i="19"/>
  <c r="W23" i="19"/>
  <c r="W24" i="19"/>
  <c r="W22" i="19"/>
  <c r="W25" i="19" s="1"/>
  <c r="W29" i="19" s="1"/>
  <c r="W28" i="19"/>
  <c r="W30" i="19" s="1"/>
  <c r="W38" i="19" s="1"/>
  <c r="S20" i="19"/>
  <c r="S23" i="19" s="1"/>
  <c r="S27" i="19" s="1"/>
  <c r="S26" i="19"/>
  <c r="S28" i="19" s="1"/>
  <c r="S36" i="19" s="1"/>
  <c r="S38" i="19" s="1"/>
  <c r="S22" i="19"/>
  <c r="D21" i="19"/>
  <c r="D19" i="19"/>
  <c r="D22" i="19" s="1"/>
  <c r="H21" i="19"/>
  <c r="H23" i="19"/>
  <c r="H22" i="19"/>
  <c r="H27" i="19"/>
  <c r="B37" i="19"/>
  <c r="D32" i="19"/>
  <c r="D36" i="19" s="1"/>
  <c r="D37" i="19" s="1"/>
  <c r="I34" i="19"/>
  <c r="I38" i="19" s="1"/>
  <c r="G33" i="19"/>
  <c r="G34" i="19" s="1"/>
  <c r="G38" i="19" s="1"/>
  <c r="G39" i="19" s="1"/>
  <c r="M34" i="19"/>
  <c r="M38" i="19" s="1"/>
  <c r="V35" i="19"/>
  <c r="V39" i="19" s="1"/>
  <c r="V40" i="19" s="1"/>
  <c r="W35" i="19"/>
  <c r="W39" i="19" s="1"/>
  <c r="X35" i="19"/>
  <c r="X39" i="19" s="1"/>
  <c r="X22" i="18"/>
  <c r="X25" i="18" s="1"/>
  <c r="X29" i="18" s="1"/>
  <c r="X28" i="18"/>
  <c r="X24" i="18"/>
  <c r="N27" i="18"/>
  <c r="N23" i="18"/>
  <c r="N21" i="18"/>
  <c r="N24" i="18" s="1"/>
  <c r="N28" i="18" s="1"/>
  <c r="C16" i="18"/>
  <c r="Q18" i="18"/>
  <c r="Q27" i="18" s="1"/>
  <c r="Q29" i="18" s="1"/>
  <c r="Q37" i="18" s="1"/>
  <c r="Q39" i="18" s="1"/>
  <c r="B25" i="18"/>
  <c r="B21" i="18"/>
  <c r="B19" i="18"/>
  <c r="B20" i="18"/>
  <c r="D16" i="18"/>
  <c r="H18" i="18"/>
  <c r="V19" i="18"/>
  <c r="V28" i="18" s="1"/>
  <c r="V30" i="18" s="1"/>
  <c r="V38" i="18" s="1"/>
  <c r="S18" i="18"/>
  <c r="R18" i="18"/>
  <c r="R27" i="18" s="1"/>
  <c r="R29" i="18" s="1"/>
  <c r="R37" i="18" s="1"/>
  <c r="R39" i="18" s="1"/>
  <c r="I18" i="18"/>
  <c r="H34" i="18"/>
  <c r="H38" i="18" s="1"/>
  <c r="H33" i="18"/>
  <c r="I33" i="18"/>
  <c r="I34" i="18" s="1"/>
  <c r="I38" i="18" s="1"/>
  <c r="Q34" i="18"/>
  <c r="Q38" i="18" s="1"/>
  <c r="V35" i="18"/>
  <c r="V39" i="18" s="1"/>
  <c r="W35" i="18"/>
  <c r="W39" i="18" s="1"/>
  <c r="W40" i="18" s="1"/>
  <c r="S18" i="17"/>
  <c r="D16" i="17"/>
  <c r="C25" i="17"/>
  <c r="C20" i="17"/>
  <c r="C21" i="17"/>
  <c r="C19" i="17"/>
  <c r="C22" i="17" s="1"/>
  <c r="C26" i="17" s="1"/>
  <c r="H18" i="17"/>
  <c r="H27" i="17" s="1"/>
  <c r="H29" i="17" s="1"/>
  <c r="H37" i="17" s="1"/>
  <c r="V19" i="17"/>
  <c r="V28" i="17" s="1"/>
  <c r="V30" i="17" s="1"/>
  <c r="V38" i="17" s="1"/>
  <c r="R18" i="17"/>
  <c r="R27" i="17" s="1"/>
  <c r="R29" i="17" s="1"/>
  <c r="R37" i="17" s="1"/>
  <c r="R39" i="17" s="1"/>
  <c r="I23" i="17"/>
  <c r="I27" i="17"/>
  <c r="I21" i="17"/>
  <c r="N18" i="17"/>
  <c r="X19" i="17"/>
  <c r="B21" i="17"/>
  <c r="B19" i="17"/>
  <c r="B25" i="17"/>
  <c r="B20" i="17"/>
  <c r="G18" i="17"/>
  <c r="G27" i="17" s="1"/>
  <c r="G29" i="17" s="1"/>
  <c r="G37" i="17" s="1"/>
  <c r="G39" i="17" s="1"/>
  <c r="H33" i="17"/>
  <c r="H34" i="17" s="1"/>
  <c r="H38" i="17" s="1"/>
  <c r="I33" i="17"/>
  <c r="I34" i="17" s="1"/>
  <c r="I38" i="17" s="1"/>
  <c r="V35" i="17"/>
  <c r="V39" i="17" s="1"/>
  <c r="R34" i="17"/>
  <c r="R38" i="17" s="1"/>
  <c r="X35" i="17"/>
  <c r="X39" i="17" s="1"/>
  <c r="R23" i="19" l="1"/>
  <c r="R27" i="19" s="1"/>
  <c r="M29" i="19"/>
  <c r="M37" i="19" s="1"/>
  <c r="M39" i="19" s="1"/>
  <c r="H24" i="19"/>
  <c r="H28" i="19" s="1"/>
  <c r="N29" i="19"/>
  <c r="N37" i="19" s="1"/>
  <c r="N39" i="19" s="1"/>
  <c r="H29" i="19"/>
  <c r="H37" i="19" s="1"/>
  <c r="H39" i="19" s="1"/>
  <c r="W40" i="19"/>
  <c r="X30" i="19"/>
  <c r="X38" i="19" s="1"/>
  <c r="X40" i="19" s="1"/>
  <c r="I29" i="19"/>
  <c r="I37" i="19" s="1"/>
  <c r="I39" i="19" s="1"/>
  <c r="R28" i="19"/>
  <c r="R36" i="19" s="1"/>
  <c r="R38" i="19" s="1"/>
  <c r="D21" i="18"/>
  <c r="D19" i="18"/>
  <c r="D25" i="18"/>
  <c r="V40" i="18"/>
  <c r="H21" i="18"/>
  <c r="H22" i="18"/>
  <c r="H27" i="18"/>
  <c r="H23" i="18"/>
  <c r="B22" i="18"/>
  <c r="B26" i="18" s="1"/>
  <c r="B27" i="18" s="1"/>
  <c r="B35" i="18" s="1"/>
  <c r="B37" i="18" s="1"/>
  <c r="C25" i="18"/>
  <c r="C20" i="18"/>
  <c r="C21" i="18"/>
  <c r="C19" i="18"/>
  <c r="C22" i="18" s="1"/>
  <c r="C26" i="18" s="1"/>
  <c r="N29" i="18"/>
  <c r="N37" i="18" s="1"/>
  <c r="N39" i="18" s="1"/>
  <c r="I21" i="18"/>
  <c r="I27" i="18"/>
  <c r="I23" i="18"/>
  <c r="S23" i="18"/>
  <c r="S27" i="18"/>
  <c r="S21" i="18"/>
  <c r="S24" i="18" s="1"/>
  <c r="S28" i="18" s="1"/>
  <c r="X30" i="18"/>
  <c r="X38" i="18" s="1"/>
  <c r="X40" i="18" s="1"/>
  <c r="H39" i="17"/>
  <c r="X28" i="17"/>
  <c r="X22" i="17"/>
  <c r="X24" i="17"/>
  <c r="N27" i="17"/>
  <c r="N21" i="17"/>
  <c r="N23" i="17"/>
  <c r="I24" i="17"/>
  <c r="I28" i="17" s="1"/>
  <c r="I29" i="17" s="1"/>
  <c r="I37" i="17" s="1"/>
  <c r="I39" i="17" s="1"/>
  <c r="C27" i="17"/>
  <c r="C35" i="17" s="1"/>
  <c r="C37" i="17" s="1"/>
  <c r="D21" i="17"/>
  <c r="D25" i="17"/>
  <c r="D27" i="17" s="1"/>
  <c r="D35" i="17" s="1"/>
  <c r="D37" i="17" s="1"/>
  <c r="D19" i="17"/>
  <c r="D22" i="17" s="1"/>
  <c r="D26" i="17" s="1"/>
  <c r="B22" i="17"/>
  <c r="B26" i="17" s="1"/>
  <c r="B27" i="17" s="1"/>
  <c r="B35" i="17" s="1"/>
  <c r="B37" i="17" s="1"/>
  <c r="V40" i="17"/>
  <c r="S21" i="17"/>
  <c r="S23" i="17"/>
  <c r="S27" i="17"/>
  <c r="S29" i="18" l="1"/>
  <c r="S37" i="18" s="1"/>
  <c r="S39" i="18" s="1"/>
  <c r="I24" i="18"/>
  <c r="I28" i="18" s="1"/>
  <c r="I29" i="18" s="1"/>
  <c r="I37" i="18" s="1"/>
  <c r="I39" i="18" s="1"/>
  <c r="H24" i="18"/>
  <c r="H28" i="18" s="1"/>
  <c r="H29" i="18" s="1"/>
  <c r="H37" i="18" s="1"/>
  <c r="H39" i="18" s="1"/>
  <c r="C27" i="18"/>
  <c r="C35" i="18" s="1"/>
  <c r="C37" i="18" s="1"/>
  <c r="D22" i="18"/>
  <c r="D26" i="18" s="1"/>
  <c r="D27" i="18" s="1"/>
  <c r="D35" i="18" s="1"/>
  <c r="D37" i="18" s="1"/>
  <c r="N24" i="17"/>
  <c r="N28" i="17" s="1"/>
  <c r="N29" i="17"/>
  <c r="N37" i="17" s="1"/>
  <c r="N39" i="17" s="1"/>
  <c r="X25" i="17"/>
  <c r="X29" i="17" s="1"/>
  <c r="X30" i="17" s="1"/>
  <c r="X38" i="17" s="1"/>
  <c r="X40" i="17" s="1"/>
  <c r="S24" i="17"/>
  <c r="S28" i="17" s="1"/>
  <c r="S29" i="17" s="1"/>
  <c r="S37" i="17" s="1"/>
  <c r="S39" i="17" s="1"/>
</calcChain>
</file>

<file path=xl/sharedStrings.xml><?xml version="1.0" encoding="utf-8"?>
<sst xmlns="http://schemas.openxmlformats.org/spreadsheetml/2006/main" count="527" uniqueCount="66">
  <si>
    <t>Insurance</t>
  </si>
  <si>
    <t>Expenses</t>
  </si>
  <si>
    <t>Gas</t>
  </si>
  <si>
    <t>Los Angles, CA</t>
  </si>
  <si>
    <t>Austin, TX</t>
  </si>
  <si>
    <t>Washington, DC</t>
  </si>
  <si>
    <t>Warehouse</t>
  </si>
  <si>
    <t>Contract Labor</t>
  </si>
  <si>
    <t>1 Charge or Swap</t>
  </si>
  <si>
    <t>300 Daily</t>
  </si>
  <si>
    <t>Taxes</t>
  </si>
  <si>
    <t>Est Net Earnings</t>
  </si>
  <si>
    <t>SE Tax 15.3%</t>
  </si>
  <si>
    <t>Income</t>
  </si>
  <si>
    <t>Employees</t>
  </si>
  <si>
    <t>Business Vehicles</t>
  </si>
  <si>
    <t>Rental Vans</t>
  </si>
  <si>
    <t>Using Independent Contractors</t>
  </si>
  <si>
    <t>Reimbursement</t>
  </si>
  <si>
    <t>7 Traditional Employees With Rental Vehicles</t>
  </si>
  <si>
    <t>7 Traditional Employees With Business Vehicles</t>
  </si>
  <si>
    <t>7 Traditional Employees With Reimbursement</t>
  </si>
  <si>
    <t>7 Traditional Employees With Business Vehicle &amp; Warehouse</t>
  </si>
  <si>
    <t>Avg Bonuses</t>
  </si>
  <si>
    <t>Bonus Tax 22%</t>
  </si>
  <si>
    <t>Est Earnings</t>
  </si>
  <si>
    <t>Est Bonus</t>
  </si>
  <si>
    <t xml:space="preserve">Est Total </t>
  </si>
  <si>
    <t>100 Daily</t>
  </si>
  <si>
    <t>3 Traditional Employees With Business Vehicles</t>
  </si>
  <si>
    <t>3 Traditional Employees With Rental Vehicles</t>
  </si>
  <si>
    <t>3 Traditional Employees With Reimbursement</t>
  </si>
  <si>
    <t>3 Traditional Employees With Business Vehicle &amp; Warehouse</t>
  </si>
  <si>
    <t>2 Shifts Traditional Employees With Business Vehicles</t>
  </si>
  <si>
    <t>2 Shifts  Traditional Employees With Rental Vehicles</t>
  </si>
  <si>
    <t>2 Shifts  Traditional Employees With Reimbursement</t>
  </si>
  <si>
    <t>2 Shifts Traditional Employees With Business Vehicle &amp; Warehouse</t>
  </si>
  <si>
    <t>200 Daily</t>
  </si>
  <si>
    <t>Independent Contractors</t>
  </si>
  <si>
    <t>7 Emp w/Rental Vans</t>
  </si>
  <si>
    <t>7 Emp w/Business Vans</t>
  </si>
  <si>
    <t>7 Emp w/Bus Vans &amp; W</t>
  </si>
  <si>
    <t>7 Emp w/Reimbursement</t>
  </si>
  <si>
    <t>3 Emp w/Business Vans</t>
  </si>
  <si>
    <t>3 Emp w/Reimbursement</t>
  </si>
  <si>
    <t>3 Emp w/Rental Vans</t>
  </si>
  <si>
    <t>3 Emp w/Bus Vans &amp; W</t>
  </si>
  <si>
    <t>6 Emp w/Business Vans</t>
  </si>
  <si>
    <t>6 Emp w/Reimbursement</t>
  </si>
  <si>
    <t>6 Emp w/Rental Vans</t>
  </si>
  <si>
    <t>6 Emp w/Bus Vans &amp; W</t>
  </si>
  <si>
    <t>Federal 10-12%</t>
  </si>
  <si>
    <t>State 0-6%</t>
  </si>
  <si>
    <t>Federal 10-22%</t>
  </si>
  <si>
    <t>Est Total Taxes</t>
  </si>
  <si>
    <t>Operating Expenses</t>
  </si>
  <si>
    <t>Estimated Net Earnings Before Taxes</t>
  </si>
  <si>
    <t>Estimated Monthly Take Home Pay With Bonuses</t>
  </si>
  <si>
    <t>Estimated Monthly Bonuses</t>
  </si>
  <si>
    <t>Estimated Monthly Take Home Pay Without Bonuses</t>
  </si>
  <si>
    <t>Est Bonuses</t>
  </si>
  <si>
    <t>200 Scooters - 2 Shifts</t>
  </si>
  <si>
    <t>100 Scooters - 1 Shift</t>
  </si>
  <si>
    <t>300 Scooters - 1 Shift</t>
  </si>
  <si>
    <t>Without Bonuses</t>
  </si>
  <si>
    <t>With Bonuses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</si>
</sst>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44" fontId="3" fillId="2" borderId="0" xfId="0" applyNumberFormat="1" applyFont="1" applyFill="1"/>
    <xf numFmtId="44" fontId="0" fillId="3" borderId="0" xfId="1" applyFont="1" applyFill="1"/>
    <xf numFmtId="44" fontId="0" fillId="4" borderId="0" xfId="1" applyFont="1" applyFill="1"/>
    <xf numFmtId="0" fontId="0" fillId="5" borderId="0" xfId="0" applyFill="1" applyAlignment="1">
      <alignment horizontal="center"/>
    </xf>
    <xf numFmtId="0" fontId="0" fillId="5" borderId="0" xfId="0" applyFill="1"/>
    <xf numFmtId="44" fontId="4" fillId="2" borderId="0" xfId="1" applyFont="1" applyFill="1"/>
    <xf numFmtId="44" fontId="4" fillId="3" borderId="0" xfId="1" applyFont="1" applyFill="1"/>
    <xf numFmtId="44" fontId="4" fillId="4" borderId="0" xfId="1" applyFont="1" applyFill="1"/>
    <xf numFmtId="44" fontId="2" fillId="2" borderId="0" xfId="1" applyFont="1" applyFill="1" applyAlignment="1">
      <alignment horizontal="center"/>
    </xf>
    <xf numFmtId="44" fontId="2" fillId="3" borderId="0" xfId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44" fontId="7" fillId="3" borderId="0" xfId="1" applyFont="1" applyFill="1" applyAlignment="1">
      <alignment horizontal="center"/>
    </xf>
    <xf numFmtId="44" fontId="7" fillId="4" borderId="0" xfId="1" applyFont="1" applyFill="1" applyAlignment="1">
      <alignment horizontal="center"/>
    </xf>
    <xf numFmtId="44" fontId="5" fillId="2" borderId="0" xfId="1" applyFont="1" applyFill="1" applyBorder="1"/>
    <xf numFmtId="44" fontId="5" fillId="3" borderId="0" xfId="1" applyFont="1" applyFill="1" applyBorder="1"/>
    <xf numFmtId="44" fontId="5" fillId="4" borderId="0" xfId="1" applyFont="1" applyFill="1" applyBorder="1" applyAlignment="1">
      <alignment horizontal="center"/>
    </xf>
    <xf numFmtId="0" fontId="5" fillId="5" borderId="1" xfId="1" applyNumberFormat="1" applyFont="1" applyFill="1" applyBorder="1"/>
    <xf numFmtId="44" fontId="5" fillId="2" borderId="1" xfId="1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0" fontId="5" fillId="5" borderId="0" xfId="0" applyFont="1" applyFill="1" applyAlignment="1">
      <alignment horizontal="left"/>
    </xf>
    <xf numFmtId="44" fontId="5" fillId="2" borderId="0" xfId="1" applyFont="1" applyFill="1" applyAlignment="1">
      <alignment horizontal="center"/>
    </xf>
    <xf numFmtId="44" fontId="5" fillId="3" borderId="0" xfId="1" applyFont="1" applyFill="1" applyAlignment="1">
      <alignment horizontal="center"/>
    </xf>
    <xf numFmtId="44" fontId="5" fillId="4" borderId="0" xfId="1" applyFont="1" applyFill="1" applyAlignment="1">
      <alignment horizontal="center"/>
    </xf>
    <xf numFmtId="44" fontId="5" fillId="2" borderId="0" xfId="1" applyFont="1" applyFill="1" applyBorder="1" applyAlignment="1">
      <alignment horizontal="center"/>
    </xf>
    <xf numFmtId="44" fontId="5" fillId="3" borderId="0" xfId="1" applyFont="1" applyFill="1" applyBorder="1" applyAlignment="1">
      <alignment horizontal="center"/>
    </xf>
    <xf numFmtId="44" fontId="5" fillId="2" borderId="0" xfId="1" applyFont="1" applyFill="1"/>
    <xf numFmtId="44" fontId="5" fillId="3" borderId="0" xfId="1" applyFont="1" applyFill="1"/>
    <xf numFmtId="44" fontId="5" fillId="4" borderId="0" xfId="1" applyFont="1" applyFill="1"/>
    <xf numFmtId="0" fontId="5" fillId="5" borderId="1" xfId="0" applyFont="1" applyFill="1" applyBorder="1"/>
    <xf numFmtId="44" fontId="5" fillId="4" borderId="1" xfId="1" applyFont="1" applyFill="1" applyBorder="1"/>
    <xf numFmtId="44" fontId="5" fillId="4" borderId="0" xfId="1" applyFont="1" applyFill="1" applyBorder="1"/>
    <xf numFmtId="44" fontId="5" fillId="2" borderId="0" xfId="0" applyNumberFormat="1" applyFont="1" applyFill="1"/>
    <xf numFmtId="44" fontId="5" fillId="3" borderId="0" xfId="0" applyNumberFormat="1" applyFont="1" applyFill="1"/>
    <xf numFmtId="44" fontId="5" fillId="4" borderId="0" xfId="0" applyNumberFormat="1" applyFont="1" applyFill="1"/>
    <xf numFmtId="0" fontId="6" fillId="0" borderId="0" xfId="0" applyFont="1"/>
    <xf numFmtId="0" fontId="5" fillId="5" borderId="0" xfId="0" applyFont="1" applyFill="1"/>
    <xf numFmtId="0" fontId="5" fillId="5" borderId="1" xfId="0" applyFont="1" applyFill="1" applyBorder="1" applyAlignment="1">
      <alignment wrapText="1"/>
    </xf>
    <xf numFmtId="44" fontId="5" fillId="2" borderId="1" xfId="0" applyNumberFormat="1" applyFont="1" applyFill="1" applyBorder="1"/>
    <xf numFmtId="44" fontId="5" fillId="3" borderId="1" xfId="0" applyNumberFormat="1" applyFont="1" applyFill="1" applyBorder="1"/>
    <xf numFmtId="44" fontId="5" fillId="4" borderId="1" xfId="0" applyNumberFormat="1" applyFont="1" applyFill="1" applyBorder="1"/>
    <xf numFmtId="0" fontId="5" fillId="5" borderId="2" xfId="0" applyFont="1" applyFill="1" applyBorder="1" applyAlignment="1">
      <alignment wrapText="1"/>
    </xf>
    <xf numFmtId="44" fontId="5" fillId="2" borderId="2" xfId="0" applyNumberFormat="1" applyFont="1" applyFill="1" applyBorder="1"/>
    <xf numFmtId="44" fontId="5" fillId="3" borderId="2" xfId="0" applyNumberFormat="1" applyFont="1" applyFill="1" applyBorder="1"/>
    <xf numFmtId="44" fontId="5" fillId="4" borderId="2" xfId="0" applyNumberFormat="1" applyFont="1" applyFill="1" applyBorder="1"/>
    <xf numFmtId="0" fontId="5" fillId="5" borderId="2" xfId="0" applyFont="1" applyFill="1" applyBorder="1" applyAlignment="1">
      <alignment horizontal="left"/>
    </xf>
    <xf numFmtId="0" fontId="6" fillId="5" borderId="0" xfId="0" applyFont="1" applyFill="1"/>
    <xf numFmtId="44" fontId="6" fillId="2" borderId="0" xfId="0" applyNumberFormat="1" applyFont="1" applyFill="1"/>
    <xf numFmtId="44" fontId="6" fillId="3" borderId="0" xfId="0" applyNumberFormat="1" applyFont="1" applyFill="1"/>
    <xf numFmtId="44" fontId="6" fillId="4" borderId="0" xfId="0" applyNumberFormat="1" applyFont="1" applyFill="1"/>
    <xf numFmtId="44" fontId="7" fillId="2" borderId="0" xfId="1" applyFont="1" applyFill="1" applyBorder="1"/>
    <xf numFmtId="44" fontId="7" fillId="3" borderId="0" xfId="1" applyFont="1" applyFill="1" applyBorder="1"/>
    <xf numFmtId="44" fontId="7" fillId="4" borderId="0" xfId="1" applyFont="1" applyFill="1" applyBorder="1"/>
    <xf numFmtId="0" fontId="7" fillId="5" borderId="1" xfId="0" applyFont="1" applyFill="1" applyBorder="1"/>
    <xf numFmtId="44" fontId="7" fillId="2" borderId="1" xfId="0" applyNumberFormat="1" applyFont="1" applyFill="1" applyBorder="1"/>
    <xf numFmtId="44" fontId="7" fillId="3" borderId="1" xfId="0" applyNumberFormat="1" applyFont="1" applyFill="1" applyBorder="1"/>
    <xf numFmtId="44" fontId="7" fillId="4" borderId="1" xfId="0" applyNumberFormat="1" applyFont="1" applyFill="1" applyBorder="1"/>
    <xf numFmtId="0" fontId="7" fillId="0" borderId="0" xfId="0" applyFont="1"/>
    <xf numFmtId="0" fontId="7" fillId="5" borderId="0" xfId="0" applyFont="1" applyFill="1"/>
    <xf numFmtId="44" fontId="7" fillId="2" borderId="0" xfId="0" applyNumberFormat="1" applyFont="1" applyFill="1"/>
    <xf numFmtId="44" fontId="7" fillId="3" borderId="0" xfId="0" applyNumberFormat="1" applyFont="1" applyFill="1"/>
    <xf numFmtId="44" fontId="7" fillId="4" borderId="0" xfId="0" applyNumberFormat="1" applyFont="1" applyFill="1"/>
    <xf numFmtId="0" fontId="7" fillId="5" borderId="2" xfId="0" applyFont="1" applyFill="1" applyBorder="1"/>
    <xf numFmtId="44" fontId="7" fillId="2" borderId="2" xfId="0" applyNumberFormat="1" applyFont="1" applyFill="1" applyBorder="1"/>
    <xf numFmtId="44" fontId="7" fillId="3" borderId="2" xfId="0" applyNumberFormat="1" applyFont="1" applyFill="1" applyBorder="1"/>
    <xf numFmtId="44" fontId="7" fillId="4" borderId="2" xfId="0" applyNumberFormat="1" applyFont="1" applyFill="1" applyBorder="1"/>
    <xf numFmtId="44" fontId="8" fillId="2" borderId="0" xfId="0" applyNumberFormat="1" applyFont="1" applyFill="1"/>
    <xf numFmtId="0" fontId="5" fillId="4" borderId="0" xfId="0" applyFont="1" applyFill="1"/>
    <xf numFmtId="0" fontId="5" fillId="3" borderId="0" xfId="0" applyFont="1" applyFill="1"/>
    <xf numFmtId="0" fontId="5" fillId="2" borderId="0" xfId="0" applyFont="1" applyFill="1"/>
    <xf numFmtId="44" fontId="1" fillId="4" borderId="0" xfId="1" applyFont="1" applyFill="1"/>
    <xf numFmtId="44" fontId="3" fillId="2" borderId="0" xfId="1" applyFont="1" applyFill="1"/>
    <xf numFmtId="44" fontId="6" fillId="2" borderId="0" xfId="1" applyFont="1" applyFill="1"/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44" fontId="3" fillId="3" borderId="0" xfId="0" applyNumberFormat="1" applyFont="1" applyFill="1"/>
    <xf numFmtId="0" fontId="5" fillId="5" borderId="0" xfId="0" applyFont="1" applyFill="1" applyAlignment="1">
      <alignment wrapText="1"/>
    </xf>
    <xf numFmtId="44" fontId="8" fillId="3" borderId="0" xfId="0" applyNumberFormat="1" applyFont="1" applyFill="1"/>
    <xf numFmtId="44" fontId="3" fillId="3" borderId="0" xfId="1" applyFont="1" applyFill="1"/>
    <xf numFmtId="44" fontId="1" fillId="3" borderId="0" xfId="1" applyFont="1" applyFill="1"/>
    <xf numFmtId="44" fontId="0" fillId="4" borderId="0" xfId="0" applyNumberFormat="1" applyFill="1"/>
    <xf numFmtId="44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P%20Break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Up Costs"/>
      <sheetName val="The Numbers"/>
      <sheetName val="Breakdown #1"/>
      <sheetName val="Breakdown #2"/>
      <sheetName val="Breakdown #3"/>
      <sheetName val="Total Breakdown"/>
      <sheetName val="Own, Rent, Or Reimburse"/>
      <sheetName val="Employees "/>
      <sheetName val="Contractors"/>
      <sheetName val="LA, California"/>
      <sheetName val="Austin, Texas"/>
    </sheetNames>
    <sheetDataSet>
      <sheetData sheetId="0"/>
      <sheetData sheetId="1"/>
      <sheetData sheetId="2">
        <row r="27">
          <cell r="B27">
            <v>619.15</v>
          </cell>
          <cell r="C27">
            <v>1672.65</v>
          </cell>
          <cell r="D27">
            <v>2319.9</v>
          </cell>
        </row>
        <row r="29">
          <cell r="G29">
            <v>-6954.8000000000011</v>
          </cell>
          <cell r="H29">
            <v>-554.60000000000036</v>
          </cell>
          <cell r="I29">
            <v>7595.6233000000011</v>
          </cell>
          <cell r="L29">
            <v>-9426.7999999999993</v>
          </cell>
          <cell r="M29">
            <v>-3026.5999999999985</v>
          </cell>
          <cell r="N29">
            <v>5798.4793000000009</v>
          </cell>
          <cell r="Q29">
            <v>-6472.1</v>
          </cell>
          <cell r="R29">
            <v>-484.10000000000036</v>
          </cell>
          <cell r="S29">
            <v>7552.0033000000012</v>
          </cell>
        </row>
        <row r="30">
          <cell r="V30">
            <v>-14954.8</v>
          </cell>
          <cell r="W30">
            <v>-9221.5999999999985</v>
          </cell>
          <cell r="X30">
            <v>325.62330000000105</v>
          </cell>
        </row>
        <row r="37">
          <cell r="B37">
            <v>9355.15</v>
          </cell>
          <cell r="C37">
            <v>10408.65</v>
          </cell>
          <cell r="D37">
            <v>11055.9</v>
          </cell>
        </row>
        <row r="39">
          <cell r="G39">
            <v>1781.1999999999989</v>
          </cell>
          <cell r="H39">
            <v>8181.4</v>
          </cell>
          <cell r="I39">
            <v>16331.623300000001</v>
          </cell>
          <cell r="L39">
            <v>-690.79999999999927</v>
          </cell>
          <cell r="M39">
            <v>5709.4000000000015</v>
          </cell>
          <cell r="N39">
            <v>14534.479300000001</v>
          </cell>
          <cell r="Q39">
            <v>2263.8999999999996</v>
          </cell>
          <cell r="R39">
            <v>8251.9</v>
          </cell>
          <cell r="S39">
            <v>16288.0033</v>
          </cell>
        </row>
        <row r="40">
          <cell r="V40">
            <v>-6218.7999999999993</v>
          </cell>
          <cell r="W40">
            <v>-485.59999999999854</v>
          </cell>
          <cell r="X40">
            <v>9061.6233000000011</v>
          </cell>
        </row>
      </sheetData>
      <sheetData sheetId="3">
        <row r="27">
          <cell r="B27">
            <v>1259.6500000000001</v>
          </cell>
          <cell r="C27">
            <v>3373.65</v>
          </cell>
          <cell r="D27">
            <v>4671.1499999999996</v>
          </cell>
        </row>
        <row r="29">
          <cell r="G29">
            <v>-11831.600000000002</v>
          </cell>
          <cell r="H29">
            <v>646.18959999999947</v>
          </cell>
          <cell r="I29">
            <v>16701.952600000004</v>
          </cell>
          <cell r="L29">
            <v>-14303.600000000002</v>
          </cell>
          <cell r="M29">
            <v>-1503.2000000000007</v>
          </cell>
          <cell r="N29">
            <v>14904.808600000002</v>
          </cell>
          <cell r="Q29">
            <v>-12894.2</v>
          </cell>
          <cell r="R29">
            <v>-918.20000000000073</v>
          </cell>
          <cell r="S29">
            <v>15140.356600000003</v>
          </cell>
        </row>
        <row r="30">
          <cell r="V30">
            <v>-19831.599999999999</v>
          </cell>
          <cell r="W30">
            <v>-7698.1999999999971</v>
          </cell>
          <cell r="X30">
            <v>9431.9526000000023</v>
          </cell>
        </row>
        <row r="37">
          <cell r="B37">
            <v>9995.65</v>
          </cell>
          <cell r="C37">
            <v>12109.65</v>
          </cell>
          <cell r="D37">
            <v>13407.15</v>
          </cell>
        </row>
        <row r="39">
          <cell r="G39">
            <v>-3095.6000000000022</v>
          </cell>
          <cell r="H39">
            <v>9382.1895999999997</v>
          </cell>
          <cell r="I39">
            <v>25437.952600000004</v>
          </cell>
          <cell r="L39">
            <v>-5567.6000000000022</v>
          </cell>
          <cell r="M39">
            <v>7232.7999999999993</v>
          </cell>
          <cell r="N39">
            <v>23640.808600000004</v>
          </cell>
          <cell r="Q39">
            <v>-4158.2000000000007</v>
          </cell>
          <cell r="R39">
            <v>7817.7999999999993</v>
          </cell>
          <cell r="S39">
            <v>23876.356600000003</v>
          </cell>
        </row>
        <row r="40">
          <cell r="V40">
            <v>-11095.599999999999</v>
          </cell>
          <cell r="W40">
            <v>1037.8000000000029</v>
          </cell>
          <cell r="X40">
            <v>18167.952600000004</v>
          </cell>
        </row>
      </sheetData>
      <sheetData sheetId="4">
        <row r="27">
          <cell r="B27">
            <v>1900.15</v>
          </cell>
          <cell r="C27">
            <v>5074.6499999999996</v>
          </cell>
          <cell r="D27">
            <v>7022.4</v>
          </cell>
        </row>
        <row r="28">
          <cell r="Q28">
            <v>-10034.899999999998</v>
          </cell>
          <cell r="R28">
            <v>5067.3356999999996</v>
          </cell>
          <cell r="S28">
            <v>23390.297699999999</v>
          </cell>
        </row>
        <row r="29">
          <cell r="G29">
            <v>-11161.199999999997</v>
          </cell>
          <cell r="H29">
            <v>4974.0641999999989</v>
          </cell>
          <cell r="I29">
            <v>23478.077699999998</v>
          </cell>
          <cell r="L29">
            <v>-16929.199999999997</v>
          </cell>
          <cell r="M29">
            <v>1703.6081999999992</v>
          </cell>
          <cell r="N29">
            <v>19861.541700000002</v>
          </cell>
        </row>
        <row r="30">
          <cell r="V30">
            <v>-19161.199999999997</v>
          </cell>
          <cell r="W30">
            <v>59.875199999999175</v>
          </cell>
          <cell r="X30">
            <v>17208.077699999998</v>
          </cell>
        </row>
        <row r="37">
          <cell r="B37">
            <v>10636.15</v>
          </cell>
          <cell r="C37">
            <v>13810.65</v>
          </cell>
          <cell r="D37">
            <v>15758.4</v>
          </cell>
        </row>
        <row r="38">
          <cell r="Q38">
            <v>-1298.8999999999978</v>
          </cell>
          <cell r="R38">
            <v>13803.3357</v>
          </cell>
          <cell r="S38">
            <v>32126.297699999999</v>
          </cell>
        </row>
        <row r="39">
          <cell r="G39">
            <v>-2425.1999999999971</v>
          </cell>
          <cell r="H39">
            <v>13710.064199999999</v>
          </cell>
          <cell r="I39">
            <v>32214.077699999998</v>
          </cell>
          <cell r="L39">
            <v>-8193.1999999999971</v>
          </cell>
          <cell r="M39">
            <v>10439.608199999999</v>
          </cell>
          <cell r="N39">
            <v>28597.541700000002</v>
          </cell>
        </row>
        <row r="40">
          <cell r="V40">
            <v>-10425.199999999997</v>
          </cell>
          <cell r="W40">
            <v>8795.8751999999986</v>
          </cell>
          <cell r="X40">
            <v>25944.077699999998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BFC48-E4F4-4F66-B2D5-C3A48BEDEF83}">
  <dimension ref="A1:X42"/>
  <sheetViews>
    <sheetView zoomScale="120" zoomScaleNormal="120" workbookViewId="0">
      <selection activeCell="L9" sqref="L9"/>
    </sheetView>
  </sheetViews>
  <sheetFormatPr defaultRowHeight="14.4" x14ac:dyDescent="0.3"/>
  <cols>
    <col min="1" max="1" width="15.77734375" bestFit="1" customWidth="1"/>
    <col min="2" max="2" width="13.77734375" bestFit="1" customWidth="1"/>
    <col min="3" max="3" width="15.109375" bestFit="1" customWidth="1"/>
    <col min="4" max="4" width="12.109375" bestFit="1" customWidth="1"/>
    <col min="6" max="6" width="15.21875" bestFit="1" customWidth="1"/>
    <col min="7" max="7" width="13.77734375" bestFit="1" customWidth="1"/>
    <col min="8" max="8" width="15.109375" bestFit="1" customWidth="1"/>
    <col min="9" max="9" width="12.109375" bestFit="1" customWidth="1"/>
    <col min="11" max="11" width="15.21875" bestFit="1" customWidth="1"/>
    <col min="12" max="12" width="13.77734375" bestFit="1" customWidth="1"/>
    <col min="13" max="13" width="15.109375" bestFit="1" customWidth="1"/>
    <col min="14" max="14" width="12.109375" bestFit="1" customWidth="1"/>
    <col min="16" max="16" width="15.21875" bestFit="1" customWidth="1"/>
    <col min="17" max="17" width="13.77734375" bestFit="1" customWidth="1"/>
    <col min="18" max="18" width="15.109375" bestFit="1" customWidth="1"/>
    <col min="19" max="19" width="12.109375" bestFit="1" customWidth="1"/>
    <col min="21" max="21" width="15.21875" bestFit="1" customWidth="1"/>
    <col min="22" max="22" width="13.77734375" bestFit="1" customWidth="1"/>
    <col min="23" max="23" width="15.109375" bestFit="1" customWidth="1"/>
    <col min="24" max="24" width="12.109375" bestFit="1" customWidth="1"/>
  </cols>
  <sheetData>
    <row r="1" spans="1:24" x14ac:dyDescent="0.3">
      <c r="A1" s="77" t="s">
        <v>17</v>
      </c>
      <c r="B1" s="77"/>
      <c r="C1" s="77"/>
      <c r="D1" s="77"/>
      <c r="E1" s="12"/>
      <c r="F1" s="77" t="s">
        <v>29</v>
      </c>
      <c r="G1" s="77"/>
      <c r="H1" s="77"/>
      <c r="I1" s="77"/>
      <c r="J1" s="12"/>
      <c r="K1" s="77" t="s">
        <v>30</v>
      </c>
      <c r="L1" s="77"/>
      <c r="M1" s="77"/>
      <c r="N1" s="77"/>
      <c r="O1" s="12"/>
      <c r="P1" s="77" t="s">
        <v>31</v>
      </c>
      <c r="Q1" s="77"/>
      <c r="R1" s="77"/>
      <c r="S1" s="77"/>
      <c r="T1" s="12"/>
      <c r="U1" s="77" t="s">
        <v>32</v>
      </c>
      <c r="V1" s="77"/>
      <c r="W1" s="77"/>
      <c r="X1" s="77"/>
    </row>
    <row r="2" spans="1:24" x14ac:dyDescent="0.3">
      <c r="A2" s="13"/>
      <c r="B2" s="14" t="s">
        <v>3</v>
      </c>
      <c r="C2" s="15" t="s">
        <v>5</v>
      </c>
      <c r="D2" s="16" t="s">
        <v>4</v>
      </c>
      <c r="E2" s="12"/>
      <c r="F2" s="13"/>
      <c r="G2" s="14" t="s">
        <v>3</v>
      </c>
      <c r="H2" s="15" t="s">
        <v>5</v>
      </c>
      <c r="I2" s="16" t="s">
        <v>4</v>
      </c>
      <c r="J2" s="12"/>
      <c r="K2" s="13"/>
      <c r="L2" s="14" t="s">
        <v>3</v>
      </c>
      <c r="M2" s="15" t="s">
        <v>5</v>
      </c>
      <c r="N2" s="16" t="s">
        <v>4</v>
      </c>
      <c r="O2" s="12"/>
      <c r="P2" s="13"/>
      <c r="Q2" s="14" t="s">
        <v>3</v>
      </c>
      <c r="R2" s="15" t="s">
        <v>5</v>
      </c>
      <c r="S2" s="16" t="s">
        <v>4</v>
      </c>
      <c r="T2" s="12"/>
      <c r="U2" s="13"/>
      <c r="V2" s="14" t="s">
        <v>3</v>
      </c>
      <c r="W2" s="15" t="s">
        <v>5</v>
      </c>
      <c r="X2" s="16" t="s">
        <v>4</v>
      </c>
    </row>
    <row r="3" spans="1:24" x14ac:dyDescent="0.3">
      <c r="A3" s="78" t="s">
        <v>13</v>
      </c>
      <c r="B3" s="78"/>
      <c r="C3" s="78"/>
      <c r="D3" s="78"/>
      <c r="E3" s="12"/>
      <c r="F3" s="78" t="s">
        <v>13</v>
      </c>
      <c r="G3" s="78"/>
      <c r="H3" s="78"/>
      <c r="I3" s="78"/>
      <c r="J3" s="12"/>
      <c r="K3" s="78" t="s">
        <v>13</v>
      </c>
      <c r="L3" s="78"/>
      <c r="M3" s="78"/>
      <c r="N3" s="78"/>
      <c r="O3" s="12"/>
      <c r="P3" s="78" t="s">
        <v>13</v>
      </c>
      <c r="Q3" s="78"/>
      <c r="R3" s="78"/>
      <c r="S3" s="78"/>
      <c r="T3" s="12"/>
      <c r="U3" s="78" t="s">
        <v>13</v>
      </c>
      <c r="V3" s="78"/>
      <c r="W3" s="78"/>
      <c r="X3" s="78"/>
    </row>
    <row r="4" spans="1:24" x14ac:dyDescent="0.3">
      <c r="A4" s="40" t="s">
        <v>8</v>
      </c>
      <c r="B4" s="17">
        <v>2.5</v>
      </c>
      <c r="C4" s="18">
        <v>5</v>
      </c>
      <c r="D4" s="19">
        <v>6.5</v>
      </c>
      <c r="E4" s="12"/>
      <c r="F4" s="40" t="s">
        <v>8</v>
      </c>
      <c r="G4" s="17">
        <v>2.5</v>
      </c>
      <c r="H4" s="18">
        <v>5</v>
      </c>
      <c r="I4" s="19">
        <v>6.5</v>
      </c>
      <c r="J4" s="12"/>
      <c r="K4" s="40" t="s">
        <v>8</v>
      </c>
      <c r="L4" s="17">
        <v>2.5</v>
      </c>
      <c r="M4" s="18">
        <v>5</v>
      </c>
      <c r="N4" s="19">
        <v>6.5</v>
      </c>
      <c r="O4" s="12"/>
      <c r="P4" s="40" t="s">
        <v>8</v>
      </c>
      <c r="Q4" s="17">
        <v>2.5</v>
      </c>
      <c r="R4" s="18">
        <v>5</v>
      </c>
      <c r="S4" s="19">
        <v>6.5</v>
      </c>
      <c r="T4" s="12"/>
      <c r="U4" s="40" t="s">
        <v>8</v>
      </c>
      <c r="V4" s="17">
        <v>2.5</v>
      </c>
      <c r="W4" s="18">
        <v>5</v>
      </c>
      <c r="X4" s="19">
        <v>6.5</v>
      </c>
    </row>
    <row r="5" spans="1:24" x14ac:dyDescent="0.3">
      <c r="A5" s="20" t="s">
        <v>28</v>
      </c>
      <c r="B5" s="21">
        <f>B4*100</f>
        <v>250</v>
      </c>
      <c r="C5" s="22">
        <f>C4*100</f>
        <v>500</v>
      </c>
      <c r="D5" s="23">
        <f>D4*100</f>
        <v>650</v>
      </c>
      <c r="E5" s="12"/>
      <c r="F5" s="20" t="s">
        <v>28</v>
      </c>
      <c r="G5" s="21">
        <f>G4*100</f>
        <v>250</v>
      </c>
      <c r="H5" s="22">
        <f>H4*100</f>
        <v>500</v>
      </c>
      <c r="I5" s="23">
        <f>I4*100</f>
        <v>650</v>
      </c>
      <c r="J5" s="12"/>
      <c r="K5" s="33" t="s">
        <v>28</v>
      </c>
      <c r="L5" s="21">
        <f>L4*100</f>
        <v>250</v>
      </c>
      <c r="M5" s="22">
        <f>M4*100</f>
        <v>500</v>
      </c>
      <c r="N5" s="23">
        <f>N4*100</f>
        <v>650</v>
      </c>
      <c r="O5" s="12"/>
      <c r="P5" s="20" t="s">
        <v>28</v>
      </c>
      <c r="Q5" s="21">
        <f>Q4*100</f>
        <v>250</v>
      </c>
      <c r="R5" s="22">
        <f>R4*100</f>
        <v>500</v>
      </c>
      <c r="S5" s="23">
        <f>S4*100</f>
        <v>650</v>
      </c>
      <c r="T5" s="12"/>
      <c r="U5" s="20" t="s">
        <v>28</v>
      </c>
      <c r="V5" s="21">
        <f>V4*100</f>
        <v>250</v>
      </c>
      <c r="W5" s="22">
        <f>W4*100</f>
        <v>500</v>
      </c>
      <c r="X5" s="23">
        <f>X4*100</f>
        <v>650</v>
      </c>
    </row>
    <row r="6" spans="1:24" x14ac:dyDescent="0.3">
      <c r="A6" s="24" t="s">
        <v>13</v>
      </c>
      <c r="B6" s="25">
        <f>B5*30</f>
        <v>7500</v>
      </c>
      <c r="C6" s="26">
        <f t="shared" ref="C6:D6" si="0">C5*30</f>
        <v>15000</v>
      </c>
      <c r="D6" s="27">
        <f t="shared" si="0"/>
        <v>19500</v>
      </c>
      <c r="E6" s="12"/>
      <c r="F6" s="24" t="s">
        <v>13</v>
      </c>
      <c r="G6" s="25">
        <f>G5*30</f>
        <v>7500</v>
      </c>
      <c r="H6" s="26">
        <f t="shared" ref="H6:I6" si="1">H5*30</f>
        <v>15000</v>
      </c>
      <c r="I6" s="27">
        <f t="shared" si="1"/>
        <v>19500</v>
      </c>
      <c r="J6" s="12"/>
      <c r="K6" s="24" t="s">
        <v>13</v>
      </c>
      <c r="L6" s="25">
        <f>L5*30</f>
        <v>7500</v>
      </c>
      <c r="M6" s="26">
        <f t="shared" ref="M6:N6" si="2">M5*30</f>
        <v>15000</v>
      </c>
      <c r="N6" s="27">
        <f t="shared" si="2"/>
        <v>19500</v>
      </c>
      <c r="O6" s="12"/>
      <c r="P6" s="24" t="s">
        <v>13</v>
      </c>
      <c r="Q6" s="25">
        <f>Q5*30</f>
        <v>7500</v>
      </c>
      <c r="R6" s="26">
        <f t="shared" ref="R6:S6" si="3">R5*30</f>
        <v>15000</v>
      </c>
      <c r="S6" s="27">
        <f t="shared" si="3"/>
        <v>19500</v>
      </c>
      <c r="T6" s="12"/>
      <c r="U6" s="24" t="s">
        <v>13</v>
      </c>
      <c r="V6" s="25">
        <f>V5*30</f>
        <v>7500</v>
      </c>
      <c r="W6" s="26">
        <f t="shared" ref="W6:X6" si="4">W5*30</f>
        <v>15000</v>
      </c>
      <c r="X6" s="27">
        <f t="shared" si="4"/>
        <v>19500</v>
      </c>
    </row>
    <row r="7" spans="1:24" x14ac:dyDescent="0.3">
      <c r="A7" s="24"/>
      <c r="B7" s="25"/>
      <c r="C7" s="26"/>
      <c r="D7" s="27"/>
      <c r="E7" s="12"/>
      <c r="F7" s="13"/>
      <c r="G7" s="25"/>
      <c r="H7" s="26"/>
      <c r="I7" s="27"/>
      <c r="J7" s="12"/>
      <c r="K7" s="13"/>
      <c r="L7" s="25"/>
      <c r="M7" s="26"/>
      <c r="N7" s="27"/>
      <c r="O7" s="12"/>
      <c r="P7" s="13"/>
      <c r="Q7" s="25"/>
      <c r="R7" s="26"/>
      <c r="S7" s="27"/>
      <c r="T7" s="12"/>
      <c r="U7" s="40"/>
      <c r="V7" s="73"/>
      <c r="W7" s="72"/>
      <c r="X7" s="71"/>
    </row>
    <row r="8" spans="1:24" x14ac:dyDescent="0.3">
      <c r="A8" s="78" t="s">
        <v>55</v>
      </c>
      <c r="B8" s="78"/>
      <c r="C8" s="78"/>
      <c r="D8" s="78"/>
      <c r="E8" s="12"/>
      <c r="F8" s="78" t="s">
        <v>55</v>
      </c>
      <c r="G8" s="78"/>
      <c r="H8" s="78"/>
      <c r="I8" s="78"/>
      <c r="J8" s="12"/>
      <c r="K8" s="78" t="s">
        <v>55</v>
      </c>
      <c r="L8" s="78"/>
      <c r="M8" s="78"/>
      <c r="N8" s="78"/>
      <c r="O8" s="12"/>
      <c r="P8" s="78" t="s">
        <v>55</v>
      </c>
      <c r="Q8" s="78"/>
      <c r="R8" s="78"/>
      <c r="S8" s="78"/>
      <c r="T8" s="12"/>
      <c r="U8" s="78" t="s">
        <v>55</v>
      </c>
      <c r="V8" s="78"/>
      <c r="W8" s="78"/>
      <c r="X8" s="78"/>
    </row>
    <row r="9" spans="1:24" x14ac:dyDescent="0.3">
      <c r="A9" s="40" t="s">
        <v>7</v>
      </c>
      <c r="B9" s="28">
        <f>-2*100*30</f>
        <v>-6000</v>
      </c>
      <c r="C9" s="29">
        <f>-4*100*30</f>
        <v>-12000</v>
      </c>
      <c r="D9" s="19">
        <f>-5.25*100*30</f>
        <v>-15750</v>
      </c>
      <c r="E9" s="12"/>
      <c r="F9" s="40" t="s">
        <v>14</v>
      </c>
      <c r="G9" s="30">
        <f>-15.43*3*8*30</f>
        <v>-11109.6</v>
      </c>
      <c r="H9" s="31">
        <f>-17.53*3*8*30</f>
        <v>-12621.6</v>
      </c>
      <c r="I9" s="32">
        <f>-8.68*3*8*30</f>
        <v>-6249.5999999999995</v>
      </c>
      <c r="J9" s="12"/>
      <c r="K9" s="40" t="s">
        <v>14</v>
      </c>
      <c r="L9" s="30">
        <f>-15.43*3*8*30</f>
        <v>-11109.6</v>
      </c>
      <c r="M9" s="31">
        <f>-17.53*3*8*30</f>
        <v>-12621.6</v>
      </c>
      <c r="N9" s="32">
        <f>-8.68*3*8*30</f>
        <v>-6249.5999999999995</v>
      </c>
      <c r="O9" s="12"/>
      <c r="P9" s="40" t="s">
        <v>14</v>
      </c>
      <c r="Q9" s="30">
        <f>-15.43*3*8*30</f>
        <v>-11109.6</v>
      </c>
      <c r="R9" s="31">
        <f>-17.53*3*8*30</f>
        <v>-12621.6</v>
      </c>
      <c r="S9" s="32">
        <f>-8.68*3*8*30</f>
        <v>-6249.5999999999995</v>
      </c>
      <c r="T9" s="12"/>
      <c r="U9" s="40" t="s">
        <v>14</v>
      </c>
      <c r="V9" s="30">
        <f>-15.43*3*8*30</f>
        <v>-11109.6</v>
      </c>
      <c r="W9" s="31">
        <f>-17.53*3*8*30</f>
        <v>-12621.6</v>
      </c>
      <c r="X9" s="32">
        <f>-8.68*3*8*30</f>
        <v>-6249.5999999999995</v>
      </c>
    </row>
    <row r="10" spans="1:24" x14ac:dyDescent="0.3">
      <c r="A10" s="33" t="s">
        <v>0</v>
      </c>
      <c r="B10" s="21">
        <v>-50</v>
      </c>
      <c r="C10" s="22">
        <v>-50</v>
      </c>
      <c r="D10" s="34">
        <v>-50</v>
      </c>
      <c r="E10" s="12"/>
      <c r="F10" s="40" t="s">
        <v>15</v>
      </c>
      <c r="G10" s="28">
        <f>-676*3</f>
        <v>-2028</v>
      </c>
      <c r="H10" s="29">
        <f>-676*3</f>
        <v>-2028</v>
      </c>
      <c r="I10" s="19">
        <f>-676*3</f>
        <v>-2028</v>
      </c>
      <c r="J10" s="12"/>
      <c r="K10" s="40" t="s">
        <v>16</v>
      </c>
      <c r="L10" s="28">
        <f>-1500*3</f>
        <v>-4500</v>
      </c>
      <c r="M10" s="29">
        <f>-1500*3</f>
        <v>-4500</v>
      </c>
      <c r="N10" s="19">
        <f>-1500*3</f>
        <v>-4500</v>
      </c>
      <c r="O10" s="12"/>
      <c r="P10" s="40" t="s">
        <v>18</v>
      </c>
      <c r="Q10" s="28">
        <f>-31.25*3*30</f>
        <v>-2812.5</v>
      </c>
      <c r="R10" s="29">
        <f>-31.25*3*30</f>
        <v>-2812.5</v>
      </c>
      <c r="S10" s="19">
        <f>-31.25*3*30</f>
        <v>-2812.5</v>
      </c>
      <c r="T10" s="12"/>
      <c r="U10" s="40" t="s">
        <v>6</v>
      </c>
      <c r="V10" s="28">
        <v>-8000</v>
      </c>
      <c r="W10" s="29">
        <v>-8667</v>
      </c>
      <c r="X10" s="19">
        <v>-10000</v>
      </c>
    </row>
    <row r="11" spans="1:24" x14ac:dyDescent="0.3">
      <c r="A11" s="40" t="s">
        <v>1</v>
      </c>
      <c r="B11" s="28">
        <f>B10+B9</f>
        <v>-6050</v>
      </c>
      <c r="C11" s="29">
        <f t="shared" ref="C11:D11" si="5">C10+C9</f>
        <v>-12050</v>
      </c>
      <c r="D11" s="19">
        <f t="shared" si="5"/>
        <v>-15800</v>
      </c>
      <c r="E11" s="12"/>
      <c r="F11" s="40" t="s">
        <v>2</v>
      </c>
      <c r="G11" s="28">
        <f>-14.08*3*30</f>
        <v>-1267.2</v>
      </c>
      <c r="H11" s="29">
        <f>-9.5*3*30</f>
        <v>-855</v>
      </c>
      <c r="I11" s="19">
        <f>-8.05*3*30</f>
        <v>-724.50000000000011</v>
      </c>
      <c r="J11" s="12"/>
      <c r="K11" s="40" t="s">
        <v>2</v>
      </c>
      <c r="L11" s="28">
        <f>-14.08*3*30</f>
        <v>-1267.2</v>
      </c>
      <c r="M11" s="29">
        <f>-9.5*3*30</f>
        <v>-855</v>
      </c>
      <c r="N11" s="19">
        <f>-8.05*3*30</f>
        <v>-724.50000000000011</v>
      </c>
      <c r="O11" s="12"/>
      <c r="P11" s="33" t="s">
        <v>0</v>
      </c>
      <c r="Q11" s="21">
        <v>-50</v>
      </c>
      <c r="R11" s="22">
        <v>-50</v>
      </c>
      <c r="S11" s="34">
        <v>-50</v>
      </c>
      <c r="T11" s="12"/>
      <c r="U11" s="40" t="s">
        <v>15</v>
      </c>
      <c r="V11" s="28">
        <f>-676*3</f>
        <v>-2028</v>
      </c>
      <c r="W11" s="29">
        <f>-676*3</f>
        <v>-2028</v>
      </c>
      <c r="X11" s="19">
        <f>-676*3</f>
        <v>-2028</v>
      </c>
    </row>
    <row r="12" spans="1:24" x14ac:dyDescent="0.3">
      <c r="A12" s="24"/>
      <c r="B12" s="25"/>
      <c r="C12" s="26"/>
      <c r="D12" s="27"/>
      <c r="E12" s="12"/>
      <c r="F12" s="33" t="s">
        <v>0</v>
      </c>
      <c r="G12" s="21">
        <v>-50</v>
      </c>
      <c r="H12" s="22">
        <v>-50</v>
      </c>
      <c r="I12" s="34">
        <v>-50</v>
      </c>
      <c r="J12" s="12"/>
      <c r="K12" s="33" t="s">
        <v>0</v>
      </c>
      <c r="L12" s="21">
        <v>-50</v>
      </c>
      <c r="M12" s="22">
        <v>-50</v>
      </c>
      <c r="N12" s="34">
        <v>-50</v>
      </c>
      <c r="O12" s="12"/>
      <c r="P12" s="40" t="s">
        <v>1</v>
      </c>
      <c r="Q12" s="28">
        <f>SUM(Q9:Q11)</f>
        <v>-13972.1</v>
      </c>
      <c r="R12" s="29">
        <f>SUM(R9:R11)</f>
        <v>-15484.1</v>
      </c>
      <c r="S12" s="19">
        <f>SUM(S9:S11)</f>
        <v>-9112.0999999999985</v>
      </c>
      <c r="T12" s="12"/>
      <c r="U12" s="40" t="s">
        <v>2</v>
      </c>
      <c r="V12" s="28">
        <f>-14.08*3*30</f>
        <v>-1267.2</v>
      </c>
      <c r="W12" s="29">
        <f>-9.5*3*30</f>
        <v>-855</v>
      </c>
      <c r="X12" s="19">
        <f>-8.05*3*30</f>
        <v>-724.50000000000011</v>
      </c>
    </row>
    <row r="13" spans="1:24" x14ac:dyDescent="0.3">
      <c r="A13" s="78" t="s">
        <v>56</v>
      </c>
      <c r="B13" s="78"/>
      <c r="C13" s="78"/>
      <c r="D13" s="78"/>
      <c r="E13" s="12"/>
      <c r="F13" s="40" t="s">
        <v>1</v>
      </c>
      <c r="G13" s="28">
        <f>SUM(G9:G12)</f>
        <v>-14454.800000000001</v>
      </c>
      <c r="H13" s="29">
        <f>SUM(H9:H12)</f>
        <v>-15554.6</v>
      </c>
      <c r="I13" s="19">
        <f>SUM(I9:I12)</f>
        <v>-9052.0999999999985</v>
      </c>
      <c r="J13" s="12"/>
      <c r="K13" s="40" t="s">
        <v>1</v>
      </c>
      <c r="L13" s="28">
        <f>SUM(L9:L12)</f>
        <v>-16926.8</v>
      </c>
      <c r="M13" s="29">
        <f t="shared" ref="M13:N13" si="6">SUM(M9:M12)</f>
        <v>-18026.599999999999</v>
      </c>
      <c r="N13" s="19">
        <f t="shared" si="6"/>
        <v>-11524.099999999999</v>
      </c>
      <c r="O13" s="12"/>
      <c r="P13" s="40"/>
      <c r="Q13" s="28"/>
      <c r="R13" s="29"/>
      <c r="S13" s="35"/>
      <c r="T13" s="12"/>
      <c r="U13" s="33" t="s">
        <v>0</v>
      </c>
      <c r="V13" s="21">
        <v>-50</v>
      </c>
      <c r="W13" s="22">
        <v>-50</v>
      </c>
      <c r="X13" s="34">
        <v>-50</v>
      </c>
    </row>
    <row r="14" spans="1:24" x14ac:dyDescent="0.3">
      <c r="A14" s="24" t="s">
        <v>13</v>
      </c>
      <c r="B14" s="25">
        <f>B6</f>
        <v>7500</v>
      </c>
      <c r="C14" s="26">
        <f>C6</f>
        <v>15000</v>
      </c>
      <c r="D14" s="27">
        <f>D6</f>
        <v>19500</v>
      </c>
      <c r="E14" s="12"/>
      <c r="F14" s="40"/>
      <c r="G14" s="28"/>
      <c r="H14" s="29"/>
      <c r="I14" s="35"/>
      <c r="J14" s="12"/>
      <c r="K14" s="40"/>
      <c r="L14" s="28"/>
      <c r="M14" s="29"/>
      <c r="N14" s="35"/>
      <c r="O14" s="12"/>
      <c r="P14" s="40"/>
      <c r="Q14" s="28"/>
      <c r="R14" s="29"/>
      <c r="S14" s="35"/>
      <c r="T14" s="12"/>
      <c r="U14" s="40" t="s">
        <v>1</v>
      </c>
      <c r="V14" s="28">
        <f>SUM(V9:V13)</f>
        <v>-22454.799999999999</v>
      </c>
      <c r="W14" s="29">
        <f>SUM(W9:W13)</f>
        <v>-24221.599999999999</v>
      </c>
      <c r="X14" s="19">
        <f>SUM(X9:X13)</f>
        <v>-19052.099999999999</v>
      </c>
    </row>
    <row r="15" spans="1:24" x14ac:dyDescent="0.3">
      <c r="A15" s="33" t="s">
        <v>1</v>
      </c>
      <c r="B15" s="21">
        <f>B11</f>
        <v>-6050</v>
      </c>
      <c r="C15" s="22">
        <f>C11</f>
        <v>-12050</v>
      </c>
      <c r="D15" s="34">
        <f>D11</f>
        <v>-15800</v>
      </c>
      <c r="E15" s="12"/>
      <c r="F15" s="78" t="s">
        <v>56</v>
      </c>
      <c r="G15" s="78"/>
      <c r="H15" s="78"/>
      <c r="I15" s="78"/>
      <c r="J15" s="12"/>
      <c r="K15" s="78" t="s">
        <v>56</v>
      </c>
      <c r="L15" s="78"/>
      <c r="M15" s="78"/>
      <c r="N15" s="78"/>
      <c r="O15" s="12"/>
      <c r="P15" s="78" t="s">
        <v>56</v>
      </c>
      <c r="Q15" s="78"/>
      <c r="R15" s="78"/>
      <c r="S15" s="78"/>
      <c r="T15" s="12"/>
      <c r="U15" s="40"/>
      <c r="V15" s="28"/>
      <c r="W15" s="29"/>
      <c r="X15" s="19"/>
    </row>
    <row r="16" spans="1:24" x14ac:dyDescent="0.3">
      <c r="A16" s="24" t="s">
        <v>11</v>
      </c>
      <c r="B16" s="36">
        <f>B14+B15</f>
        <v>1450</v>
      </c>
      <c r="C16" s="37">
        <f>C14+C15</f>
        <v>2950</v>
      </c>
      <c r="D16" s="38">
        <f>D14+D15</f>
        <v>3700</v>
      </c>
      <c r="E16" s="39"/>
      <c r="F16" s="24" t="s">
        <v>13</v>
      </c>
      <c r="G16" s="25">
        <f>G6</f>
        <v>7500</v>
      </c>
      <c r="H16" s="26">
        <f>H6</f>
        <v>15000</v>
      </c>
      <c r="I16" s="27">
        <f>I6</f>
        <v>19500</v>
      </c>
      <c r="J16" s="12"/>
      <c r="K16" s="24" t="s">
        <v>13</v>
      </c>
      <c r="L16" s="25">
        <f>L6</f>
        <v>7500</v>
      </c>
      <c r="M16" s="26">
        <f>M6</f>
        <v>15000</v>
      </c>
      <c r="N16" s="27">
        <f>N6</f>
        <v>19500</v>
      </c>
      <c r="O16" s="12"/>
      <c r="P16" s="24" t="s">
        <v>13</v>
      </c>
      <c r="Q16" s="25">
        <f>Q6</f>
        <v>7500</v>
      </c>
      <c r="R16" s="26">
        <f>R6</f>
        <v>15000</v>
      </c>
      <c r="S16" s="27">
        <f>S6</f>
        <v>19500</v>
      </c>
      <c r="T16" s="12"/>
      <c r="U16" s="78" t="s">
        <v>56</v>
      </c>
      <c r="V16" s="78"/>
      <c r="W16" s="78"/>
      <c r="X16" s="78"/>
    </row>
    <row r="17" spans="1:24" x14ac:dyDescent="0.3">
      <c r="A17" s="24"/>
      <c r="B17" s="25"/>
      <c r="C17" s="26"/>
      <c r="D17" s="27"/>
      <c r="E17" s="39"/>
      <c r="F17" s="33" t="s">
        <v>1</v>
      </c>
      <c r="G17" s="21">
        <f>G13</f>
        <v>-14454.800000000001</v>
      </c>
      <c r="H17" s="22">
        <f t="shared" ref="H17:I17" si="7">H13</f>
        <v>-15554.6</v>
      </c>
      <c r="I17" s="23">
        <f t="shared" si="7"/>
        <v>-9052.0999999999985</v>
      </c>
      <c r="J17" s="12"/>
      <c r="K17" s="33" t="s">
        <v>1</v>
      </c>
      <c r="L17" s="21">
        <f>L13</f>
        <v>-16926.8</v>
      </c>
      <c r="M17" s="22">
        <f t="shared" ref="M17:N17" si="8">M13</f>
        <v>-18026.599999999999</v>
      </c>
      <c r="N17" s="23">
        <f t="shared" si="8"/>
        <v>-11524.099999999999</v>
      </c>
      <c r="O17" s="12"/>
      <c r="P17" s="33" t="s">
        <v>1</v>
      </c>
      <c r="Q17" s="21">
        <f>Q12</f>
        <v>-13972.1</v>
      </c>
      <c r="R17" s="22">
        <f>R12</f>
        <v>-15484.1</v>
      </c>
      <c r="S17" s="23">
        <f>S12</f>
        <v>-9112.0999999999985</v>
      </c>
      <c r="T17" s="12"/>
      <c r="U17" s="24" t="s">
        <v>13</v>
      </c>
      <c r="V17" s="25">
        <f>V6</f>
        <v>7500</v>
      </c>
      <c r="W17" s="26">
        <f>W6</f>
        <v>15000</v>
      </c>
      <c r="X17" s="27">
        <f>X6</f>
        <v>19500</v>
      </c>
    </row>
    <row r="18" spans="1:24" x14ac:dyDescent="0.3">
      <c r="A18" s="78" t="s">
        <v>10</v>
      </c>
      <c r="B18" s="78"/>
      <c r="C18" s="78"/>
      <c r="D18" s="78"/>
      <c r="E18" s="39"/>
      <c r="F18" s="24" t="s">
        <v>11</v>
      </c>
      <c r="G18" s="1">
        <f>G16+G17</f>
        <v>-6954.8000000000011</v>
      </c>
      <c r="H18" s="81">
        <f>H16+H17</f>
        <v>-554.60000000000036</v>
      </c>
      <c r="I18" s="38">
        <f>I16+I17</f>
        <v>10447.900000000001</v>
      </c>
      <c r="J18" s="12"/>
      <c r="K18" s="24" t="s">
        <v>11</v>
      </c>
      <c r="L18" s="1">
        <f>L16+L17</f>
        <v>-9426.7999999999993</v>
      </c>
      <c r="M18" s="81">
        <f t="shared" ref="M18:N18" si="9">M16+M17</f>
        <v>-3026.5999999999985</v>
      </c>
      <c r="N18" s="38">
        <f t="shared" si="9"/>
        <v>7975.9000000000015</v>
      </c>
      <c r="O18" s="12"/>
      <c r="P18" s="24" t="s">
        <v>11</v>
      </c>
      <c r="Q18" s="1">
        <f>Q16+Q17</f>
        <v>-6472.1</v>
      </c>
      <c r="R18" s="81">
        <f t="shared" ref="R18:S18" si="10">R16+R17</f>
        <v>-484.10000000000036</v>
      </c>
      <c r="S18" s="38">
        <f t="shared" si="10"/>
        <v>10387.900000000001</v>
      </c>
      <c r="T18" s="12"/>
      <c r="U18" s="33" t="s">
        <v>1</v>
      </c>
      <c r="V18" s="21">
        <f>V14</f>
        <v>-22454.799999999999</v>
      </c>
      <c r="W18" s="22">
        <f>W14</f>
        <v>-24221.599999999999</v>
      </c>
      <c r="X18" s="23">
        <f>X14</f>
        <v>-19052.099999999999</v>
      </c>
    </row>
    <row r="19" spans="1:24" x14ac:dyDescent="0.3">
      <c r="A19" s="40" t="s">
        <v>53</v>
      </c>
      <c r="B19" s="36">
        <f>B16*-0.22</f>
        <v>-319</v>
      </c>
      <c r="C19" s="37">
        <f>C16*-0.22</f>
        <v>-649</v>
      </c>
      <c r="D19" s="38">
        <f>D16*-0.22</f>
        <v>-814</v>
      </c>
      <c r="E19" s="12"/>
      <c r="F19" s="24"/>
      <c r="G19" s="36"/>
      <c r="H19" s="37"/>
      <c r="I19" s="38"/>
      <c r="J19" s="12"/>
      <c r="K19" s="24"/>
      <c r="L19" s="36"/>
      <c r="M19" s="37"/>
      <c r="N19" s="38"/>
      <c r="O19" s="12"/>
      <c r="P19" s="24"/>
      <c r="Q19" s="36"/>
      <c r="R19" s="37"/>
      <c r="S19" s="38"/>
      <c r="T19" s="12"/>
      <c r="U19" s="24" t="s">
        <v>11</v>
      </c>
      <c r="V19" s="1">
        <f>V17+V18</f>
        <v>-14954.8</v>
      </c>
      <c r="W19" s="81">
        <f t="shared" ref="W19:X19" si="11">W17+W18</f>
        <v>-9221.5999999999985</v>
      </c>
      <c r="X19" s="38">
        <f t="shared" si="11"/>
        <v>447.90000000000146</v>
      </c>
    </row>
    <row r="20" spans="1:24" x14ac:dyDescent="0.3">
      <c r="A20" s="40" t="s">
        <v>52</v>
      </c>
      <c r="B20" s="36">
        <f>B16*-0.2</f>
        <v>-290</v>
      </c>
      <c r="C20" s="37">
        <f>C16*-0.06</f>
        <v>-177</v>
      </c>
      <c r="D20" s="38">
        <v>0</v>
      </c>
      <c r="E20" s="12"/>
      <c r="F20" s="78" t="s">
        <v>10</v>
      </c>
      <c r="G20" s="78"/>
      <c r="H20" s="78"/>
      <c r="I20" s="78"/>
      <c r="J20" s="12"/>
      <c r="K20" s="78" t="s">
        <v>10</v>
      </c>
      <c r="L20" s="78"/>
      <c r="M20" s="78"/>
      <c r="N20" s="78"/>
      <c r="O20" s="12"/>
      <c r="P20" s="78" t="s">
        <v>10</v>
      </c>
      <c r="Q20" s="78"/>
      <c r="R20" s="78"/>
      <c r="S20" s="78"/>
      <c r="T20" s="12"/>
      <c r="U20" s="24"/>
      <c r="V20" s="36"/>
      <c r="W20" s="37"/>
      <c r="X20" s="38"/>
    </row>
    <row r="21" spans="1:24" x14ac:dyDescent="0.3">
      <c r="A21" s="41" t="s">
        <v>12</v>
      </c>
      <c r="B21" s="42">
        <f>B16*-0.153</f>
        <v>-221.85</v>
      </c>
      <c r="C21" s="43">
        <f>C16*-0.153</f>
        <v>-451.34999999999997</v>
      </c>
      <c r="D21" s="44">
        <f>D16*-0.153</f>
        <v>-566.1</v>
      </c>
      <c r="E21" s="12"/>
      <c r="F21" s="40" t="s">
        <v>51</v>
      </c>
      <c r="G21" s="36">
        <v>0</v>
      </c>
      <c r="H21" s="37">
        <v>0</v>
      </c>
      <c r="I21" s="38">
        <f t="shared" ref="I21:J21" si="12">I18*-0.12</f>
        <v>-1253.748</v>
      </c>
      <c r="J21" s="12"/>
      <c r="K21" s="40" t="s">
        <v>51</v>
      </c>
      <c r="L21" s="36">
        <v>0</v>
      </c>
      <c r="M21" s="37">
        <v>0</v>
      </c>
      <c r="N21" s="38">
        <f t="shared" ref="N21:O21" si="13">N18*-0.12</f>
        <v>-957.10800000000017</v>
      </c>
      <c r="O21" s="12"/>
      <c r="P21" s="40" t="s">
        <v>51</v>
      </c>
      <c r="Q21" s="36">
        <v>0</v>
      </c>
      <c r="R21" s="37">
        <v>0</v>
      </c>
      <c r="S21" s="38">
        <f t="shared" ref="S21:T21" si="14">S18*-0.12</f>
        <v>-1246.5480000000002</v>
      </c>
      <c r="T21" s="12"/>
      <c r="U21" s="78" t="s">
        <v>10</v>
      </c>
      <c r="V21" s="78"/>
      <c r="W21" s="78"/>
      <c r="X21" s="78"/>
    </row>
    <row r="22" spans="1:24" x14ac:dyDescent="0.3">
      <c r="A22" s="82" t="s">
        <v>54</v>
      </c>
      <c r="B22" s="36">
        <f>SUM(B19:B21)</f>
        <v>-830.85</v>
      </c>
      <c r="C22" s="37">
        <f t="shared" ref="C22:D22" si="15">SUM(C19:C21)</f>
        <v>-1277.3499999999999</v>
      </c>
      <c r="D22" s="38">
        <f t="shared" si="15"/>
        <v>-1380.1</v>
      </c>
      <c r="E22" s="12"/>
      <c r="F22" s="40" t="s">
        <v>52</v>
      </c>
      <c r="G22" s="36">
        <v>0</v>
      </c>
      <c r="H22" s="37">
        <v>0</v>
      </c>
      <c r="I22" s="38">
        <v>0</v>
      </c>
      <c r="J22" s="12"/>
      <c r="K22" s="40" t="s">
        <v>52</v>
      </c>
      <c r="L22" s="36">
        <v>0</v>
      </c>
      <c r="M22" s="37">
        <v>0</v>
      </c>
      <c r="N22" s="38">
        <v>0</v>
      </c>
      <c r="O22" s="12"/>
      <c r="P22" s="40" t="s">
        <v>52</v>
      </c>
      <c r="Q22" s="36">
        <v>0</v>
      </c>
      <c r="R22" s="37">
        <v>0</v>
      </c>
      <c r="S22" s="38">
        <v>0</v>
      </c>
      <c r="T22" s="12"/>
      <c r="U22" s="40" t="s">
        <v>51</v>
      </c>
      <c r="V22" s="36">
        <v>0</v>
      </c>
      <c r="W22" s="37">
        <v>0</v>
      </c>
      <c r="X22" s="38">
        <f t="shared" ref="X22:Y22" si="16">X19*-0.12</f>
        <v>-53.748000000000175</v>
      </c>
    </row>
    <row r="23" spans="1:24" x14ac:dyDescent="0.3">
      <c r="A23" s="82"/>
      <c r="B23" s="36"/>
      <c r="C23" s="37"/>
      <c r="D23" s="38"/>
      <c r="E23" s="12"/>
      <c r="F23" s="41" t="s">
        <v>12</v>
      </c>
      <c r="G23" s="42">
        <v>0</v>
      </c>
      <c r="H23" s="43">
        <v>0</v>
      </c>
      <c r="I23" s="44">
        <f>I18*-0.153</f>
        <v>-1598.5287000000003</v>
      </c>
      <c r="J23" s="12"/>
      <c r="K23" s="41" t="s">
        <v>12</v>
      </c>
      <c r="L23" s="42">
        <v>0</v>
      </c>
      <c r="M23" s="43">
        <v>0</v>
      </c>
      <c r="N23" s="44">
        <f>N18*-0.153</f>
        <v>-1220.3127000000002</v>
      </c>
      <c r="O23" s="12"/>
      <c r="P23" s="41" t="s">
        <v>12</v>
      </c>
      <c r="Q23" s="42">
        <v>0</v>
      </c>
      <c r="R23" s="43">
        <v>0</v>
      </c>
      <c r="S23" s="44">
        <f>S18*-0.153</f>
        <v>-1589.3487000000002</v>
      </c>
      <c r="T23" s="12"/>
      <c r="U23" s="40" t="s">
        <v>52</v>
      </c>
      <c r="V23" s="36">
        <v>0</v>
      </c>
      <c r="W23" s="37">
        <v>0</v>
      </c>
      <c r="X23" s="38">
        <v>0</v>
      </c>
    </row>
    <row r="24" spans="1:24" x14ac:dyDescent="0.3">
      <c r="A24" s="78" t="s">
        <v>59</v>
      </c>
      <c r="B24" s="78"/>
      <c r="C24" s="78"/>
      <c r="D24" s="78"/>
      <c r="E24" s="12"/>
      <c r="F24" s="82"/>
      <c r="G24" s="36">
        <f>SUM(G21:G23)</f>
        <v>0</v>
      </c>
      <c r="H24" s="37">
        <f t="shared" ref="H24:I24" si="17">SUM(H21:H23)</f>
        <v>0</v>
      </c>
      <c r="I24" s="38">
        <f t="shared" si="17"/>
        <v>-2852.2767000000003</v>
      </c>
      <c r="J24" s="12"/>
      <c r="K24" s="82"/>
      <c r="L24" s="36">
        <f>SUM(L21:L23)</f>
        <v>0</v>
      </c>
      <c r="M24" s="37">
        <f t="shared" ref="M24:N24" si="18">SUM(M21:M23)</f>
        <v>0</v>
      </c>
      <c r="N24" s="38">
        <f t="shared" si="18"/>
        <v>-2177.4207000000006</v>
      </c>
      <c r="O24" s="12"/>
      <c r="P24" s="82"/>
      <c r="Q24" s="36">
        <f>SUM(Q21:Q23)</f>
        <v>0</v>
      </c>
      <c r="R24" s="37">
        <f t="shared" ref="R24:S24" si="19">SUM(R21:R23)</f>
        <v>0</v>
      </c>
      <c r="S24" s="38">
        <f t="shared" si="19"/>
        <v>-2835.8967000000002</v>
      </c>
      <c r="T24" s="39"/>
      <c r="U24" s="41" t="s">
        <v>12</v>
      </c>
      <c r="V24" s="42">
        <v>0</v>
      </c>
      <c r="W24" s="43">
        <v>0</v>
      </c>
      <c r="X24" s="44">
        <f>X19*-0.153</f>
        <v>-68.528700000000228</v>
      </c>
    </row>
    <row r="25" spans="1:24" x14ac:dyDescent="0.3">
      <c r="A25" s="24" t="s">
        <v>11</v>
      </c>
      <c r="B25" s="36">
        <f>B16</f>
        <v>1450</v>
      </c>
      <c r="C25" s="37">
        <f>C16</f>
        <v>2950</v>
      </c>
      <c r="D25" s="38">
        <f>D16</f>
        <v>3700</v>
      </c>
      <c r="E25" s="12"/>
      <c r="F25" s="82"/>
      <c r="G25" s="36"/>
      <c r="H25" s="37"/>
      <c r="I25" s="38"/>
      <c r="J25" s="12"/>
      <c r="K25" s="82"/>
      <c r="L25" s="36"/>
      <c r="M25" s="37"/>
      <c r="N25" s="38"/>
      <c r="O25" s="12"/>
      <c r="P25" s="82"/>
      <c r="Q25" s="36"/>
      <c r="R25" s="37"/>
      <c r="S25" s="38"/>
      <c r="T25" s="39"/>
      <c r="U25" s="82"/>
      <c r="V25" s="36">
        <f>SUM(V22:V24)</f>
        <v>0</v>
      </c>
      <c r="W25" s="37">
        <f t="shared" ref="W25:X25" si="20">SUM(W22:W24)</f>
        <v>0</v>
      </c>
      <c r="X25" s="38">
        <f t="shared" si="20"/>
        <v>-122.2767000000004</v>
      </c>
    </row>
    <row r="26" spans="1:24" ht="15" thickBot="1" x14ac:dyDescent="0.35">
      <c r="A26" s="49" t="s">
        <v>54</v>
      </c>
      <c r="B26" s="46">
        <f>B22</f>
        <v>-830.85</v>
      </c>
      <c r="C26" s="47">
        <f>C22</f>
        <v>-1277.3499999999999</v>
      </c>
      <c r="D26" s="48">
        <f>D22</f>
        <v>-1380.1</v>
      </c>
      <c r="E26" s="12"/>
      <c r="F26" s="78" t="s">
        <v>59</v>
      </c>
      <c r="G26" s="78"/>
      <c r="H26" s="78"/>
      <c r="I26" s="78"/>
      <c r="J26" s="12"/>
      <c r="K26" s="78" t="s">
        <v>59</v>
      </c>
      <c r="L26" s="78"/>
      <c r="M26" s="78"/>
      <c r="N26" s="78"/>
      <c r="O26" s="12"/>
      <c r="P26" s="78" t="s">
        <v>59</v>
      </c>
      <c r="Q26" s="78"/>
      <c r="R26" s="78"/>
      <c r="S26" s="78"/>
      <c r="T26" s="39"/>
      <c r="U26" s="82"/>
      <c r="V26" s="36"/>
      <c r="W26" s="37"/>
      <c r="X26" s="38"/>
    </row>
    <row r="27" spans="1:24" ht="15" thickTop="1" x14ac:dyDescent="0.3">
      <c r="A27" s="50" t="s">
        <v>27</v>
      </c>
      <c r="B27" s="51">
        <f>B25+B26</f>
        <v>619.15</v>
      </c>
      <c r="C27" s="52">
        <f>C25+C26</f>
        <v>1672.65</v>
      </c>
      <c r="D27" s="53">
        <f>D25+D26</f>
        <v>2319.9</v>
      </c>
      <c r="E27" s="12"/>
      <c r="F27" s="24" t="s">
        <v>11</v>
      </c>
      <c r="G27" s="36">
        <f>G18</f>
        <v>-6954.8000000000011</v>
      </c>
      <c r="H27" s="37">
        <f>H18</f>
        <v>-554.60000000000036</v>
      </c>
      <c r="I27" s="38">
        <f>I18</f>
        <v>10447.900000000001</v>
      </c>
      <c r="J27" s="12"/>
      <c r="K27" s="24" t="s">
        <v>11</v>
      </c>
      <c r="L27" s="36">
        <f>L18</f>
        <v>-9426.7999999999993</v>
      </c>
      <c r="M27" s="37">
        <f>M18</f>
        <v>-3026.5999999999985</v>
      </c>
      <c r="N27" s="38">
        <f>N18</f>
        <v>7975.9000000000015</v>
      </c>
      <c r="O27" s="12"/>
      <c r="P27" s="24" t="s">
        <v>11</v>
      </c>
      <c r="Q27" s="36">
        <f>Q18</f>
        <v>-6472.1</v>
      </c>
      <c r="R27" s="37">
        <f>R18</f>
        <v>-484.10000000000036</v>
      </c>
      <c r="S27" s="38">
        <f>S18</f>
        <v>10387.900000000001</v>
      </c>
      <c r="T27" s="12"/>
      <c r="U27" s="78" t="s">
        <v>59</v>
      </c>
      <c r="V27" s="78"/>
      <c r="W27" s="78"/>
      <c r="X27" s="78"/>
    </row>
    <row r="28" spans="1:24" ht="15" thickBot="1" x14ac:dyDescent="0.35">
      <c r="A28" s="24"/>
      <c r="B28" s="25"/>
      <c r="C28" s="26"/>
      <c r="D28" s="27"/>
      <c r="E28" s="39"/>
      <c r="F28" s="49" t="s">
        <v>54</v>
      </c>
      <c r="G28" s="46">
        <f>G24</f>
        <v>0</v>
      </c>
      <c r="H28" s="47">
        <f>H24</f>
        <v>0</v>
      </c>
      <c r="I28" s="48">
        <f>I24</f>
        <v>-2852.2767000000003</v>
      </c>
      <c r="J28" s="12"/>
      <c r="K28" s="49" t="s">
        <v>54</v>
      </c>
      <c r="L28" s="46">
        <f>L24</f>
        <v>0</v>
      </c>
      <c r="M28" s="47">
        <f>M24</f>
        <v>0</v>
      </c>
      <c r="N28" s="48">
        <f>N24</f>
        <v>-2177.4207000000006</v>
      </c>
      <c r="O28" s="12"/>
      <c r="P28" s="49" t="s">
        <v>54</v>
      </c>
      <c r="Q28" s="46">
        <f>Q24</f>
        <v>0</v>
      </c>
      <c r="R28" s="47">
        <f>R24</f>
        <v>0</v>
      </c>
      <c r="S28" s="48">
        <f>S24</f>
        <v>-2835.8967000000002</v>
      </c>
      <c r="T28" s="61"/>
      <c r="U28" s="24" t="s">
        <v>11</v>
      </c>
      <c r="V28" s="36">
        <f>V19</f>
        <v>-14954.8</v>
      </c>
      <c r="W28" s="37">
        <f>W19</f>
        <v>-9221.5999999999985</v>
      </c>
      <c r="X28" s="38">
        <f>X19</f>
        <v>447.90000000000146</v>
      </c>
    </row>
    <row r="29" spans="1:24" ht="15.6" thickTop="1" thickBot="1" x14ac:dyDescent="0.35">
      <c r="A29" s="78" t="s">
        <v>58</v>
      </c>
      <c r="B29" s="78"/>
      <c r="C29" s="78"/>
      <c r="D29" s="78"/>
      <c r="E29" s="12"/>
      <c r="F29" s="50"/>
      <c r="G29" s="70">
        <f>G27+G28</f>
        <v>-6954.8000000000011</v>
      </c>
      <c r="H29" s="83">
        <f>H27+H28</f>
        <v>-554.60000000000036</v>
      </c>
      <c r="I29" s="53">
        <f>I27+I28</f>
        <v>7595.6233000000011</v>
      </c>
      <c r="J29" s="39"/>
      <c r="K29" s="50"/>
      <c r="L29" s="70">
        <f>L27+L28</f>
        <v>-9426.7999999999993</v>
      </c>
      <c r="M29" s="83">
        <f>M27+M28</f>
        <v>-3026.5999999999985</v>
      </c>
      <c r="N29" s="53">
        <f>N27+N28</f>
        <v>5798.4793000000009</v>
      </c>
      <c r="O29" s="39"/>
      <c r="P29" s="50"/>
      <c r="Q29" s="70">
        <f>Q27+Q28</f>
        <v>-6472.1</v>
      </c>
      <c r="R29" s="83">
        <f>R27+R28</f>
        <v>-484.10000000000036</v>
      </c>
      <c r="S29" s="53">
        <f>S27+S28</f>
        <v>7552.0033000000012</v>
      </c>
      <c r="T29" s="61"/>
      <c r="U29" s="49" t="s">
        <v>54</v>
      </c>
      <c r="V29" s="46">
        <f>V25</f>
        <v>0</v>
      </c>
      <c r="W29" s="47">
        <f>W25</f>
        <v>0</v>
      </c>
      <c r="X29" s="48">
        <f>X25</f>
        <v>-122.2767000000004</v>
      </c>
    </row>
    <row r="30" spans="1:24" ht="15" thickTop="1" x14ac:dyDescent="0.3">
      <c r="A30" s="62" t="s">
        <v>23</v>
      </c>
      <c r="B30" s="54">
        <f>2800*4</f>
        <v>11200</v>
      </c>
      <c r="C30" s="55">
        <f>2800*4</f>
        <v>11200</v>
      </c>
      <c r="D30" s="56">
        <f>2800*4</f>
        <v>11200</v>
      </c>
      <c r="E30" s="61"/>
      <c r="F30" s="50"/>
      <c r="G30" s="51"/>
      <c r="H30" s="52"/>
      <c r="I30" s="53"/>
      <c r="J30" s="39"/>
      <c r="K30" s="50"/>
      <c r="L30" s="51"/>
      <c r="M30" s="52"/>
      <c r="N30" s="53"/>
      <c r="O30" s="39"/>
      <c r="P30" s="50"/>
      <c r="Q30" s="51"/>
      <c r="R30" s="52"/>
      <c r="S30" s="53"/>
      <c r="T30" s="61"/>
      <c r="U30" s="50"/>
      <c r="V30" s="70">
        <f>V28+V29</f>
        <v>-14954.8</v>
      </c>
      <c r="W30" s="83">
        <f>W28+W29</f>
        <v>-9221.5999999999985</v>
      </c>
      <c r="X30" s="53">
        <f>X28+X29</f>
        <v>325.62330000000105</v>
      </c>
    </row>
    <row r="31" spans="1:24" x14ac:dyDescent="0.3">
      <c r="A31" s="57" t="s">
        <v>24</v>
      </c>
      <c r="B31" s="58">
        <f>B30*-0.22</f>
        <v>-2464</v>
      </c>
      <c r="C31" s="59">
        <f t="shared" ref="C31:D31" si="21">C30*-0.22</f>
        <v>-2464</v>
      </c>
      <c r="D31" s="60">
        <f t="shared" si="21"/>
        <v>-2464</v>
      </c>
      <c r="E31" s="61"/>
      <c r="F31" s="78" t="s">
        <v>58</v>
      </c>
      <c r="G31" s="78"/>
      <c r="H31" s="78"/>
      <c r="I31" s="78"/>
      <c r="J31" s="12"/>
      <c r="K31" s="78" t="s">
        <v>58</v>
      </c>
      <c r="L31" s="78"/>
      <c r="M31" s="78"/>
      <c r="N31" s="78"/>
      <c r="O31" s="12"/>
      <c r="P31" s="78" t="s">
        <v>58</v>
      </c>
      <c r="Q31" s="78"/>
      <c r="R31" s="78"/>
      <c r="S31" s="78"/>
      <c r="T31" s="61"/>
      <c r="U31" s="50"/>
      <c r="V31" s="51"/>
      <c r="W31" s="52"/>
      <c r="X31" s="53"/>
    </row>
    <row r="32" spans="1:24" x14ac:dyDescent="0.3">
      <c r="A32" s="62" t="s">
        <v>60</v>
      </c>
      <c r="B32" s="63">
        <f>B30+B31</f>
        <v>8736</v>
      </c>
      <c r="C32" s="64">
        <f t="shared" ref="C32:D32" si="22">C30+C31</f>
        <v>8736</v>
      </c>
      <c r="D32" s="65">
        <f t="shared" si="22"/>
        <v>8736</v>
      </c>
      <c r="E32" s="61"/>
      <c r="F32" s="62" t="s">
        <v>23</v>
      </c>
      <c r="G32" s="54">
        <f>2800*4</f>
        <v>11200</v>
      </c>
      <c r="H32" s="55">
        <f>2800*4</f>
        <v>11200</v>
      </c>
      <c r="I32" s="56">
        <f>2800*4</f>
        <v>11200</v>
      </c>
      <c r="J32" s="61"/>
      <c r="K32" s="62" t="s">
        <v>23</v>
      </c>
      <c r="L32" s="54">
        <f>2800*4</f>
        <v>11200</v>
      </c>
      <c r="M32" s="55">
        <f>2800*4</f>
        <v>11200</v>
      </c>
      <c r="N32" s="56">
        <f>2800*4</f>
        <v>11200</v>
      </c>
      <c r="O32" s="61"/>
      <c r="P32" s="62" t="s">
        <v>23</v>
      </c>
      <c r="Q32" s="54">
        <f>2800*4</f>
        <v>11200</v>
      </c>
      <c r="R32" s="55">
        <f>2800*4</f>
        <v>11200</v>
      </c>
      <c r="S32" s="56">
        <f>2800*4</f>
        <v>11200</v>
      </c>
      <c r="T32" s="12"/>
      <c r="U32" s="78" t="s">
        <v>58</v>
      </c>
      <c r="V32" s="78"/>
      <c r="W32" s="78"/>
      <c r="X32" s="78"/>
    </row>
    <row r="33" spans="1:24" x14ac:dyDescent="0.3">
      <c r="A33" s="24"/>
      <c r="B33" s="25"/>
      <c r="C33" s="26"/>
      <c r="D33" s="27"/>
      <c r="E33" s="12"/>
      <c r="F33" s="57" t="s">
        <v>24</v>
      </c>
      <c r="G33" s="58">
        <f>G32*-0.22</f>
        <v>-2464</v>
      </c>
      <c r="H33" s="59">
        <f t="shared" ref="H33:I33" si="23">H32*-0.22</f>
        <v>-2464</v>
      </c>
      <c r="I33" s="60">
        <f t="shared" si="23"/>
        <v>-2464</v>
      </c>
      <c r="J33" s="61"/>
      <c r="K33" s="57" t="s">
        <v>24</v>
      </c>
      <c r="L33" s="58">
        <f>L32*-0.22</f>
        <v>-2464</v>
      </c>
      <c r="M33" s="59">
        <f t="shared" ref="M33:N33" si="24">M32*-0.22</f>
        <v>-2464</v>
      </c>
      <c r="N33" s="60">
        <f t="shared" si="24"/>
        <v>-2464</v>
      </c>
      <c r="O33" s="61"/>
      <c r="P33" s="57" t="s">
        <v>24</v>
      </c>
      <c r="Q33" s="58">
        <f>Q32*-0.22</f>
        <v>-2464</v>
      </c>
      <c r="R33" s="59">
        <f t="shared" ref="R33:S33" si="25">R32*-0.22</f>
        <v>-2464</v>
      </c>
      <c r="S33" s="60">
        <f t="shared" si="25"/>
        <v>-2464</v>
      </c>
      <c r="T33" s="12"/>
      <c r="U33" s="62" t="s">
        <v>23</v>
      </c>
      <c r="V33" s="54">
        <f>2800*4</f>
        <v>11200</v>
      </c>
      <c r="W33" s="55">
        <f>2800*4</f>
        <v>11200</v>
      </c>
      <c r="X33" s="56">
        <f>2800*4</f>
        <v>11200</v>
      </c>
    </row>
    <row r="34" spans="1:24" x14ac:dyDescent="0.3">
      <c r="A34" s="78" t="s">
        <v>57</v>
      </c>
      <c r="B34" s="78"/>
      <c r="C34" s="78"/>
      <c r="D34" s="78"/>
      <c r="E34" s="12"/>
      <c r="F34" s="62"/>
      <c r="G34" s="63">
        <f>G32+G33</f>
        <v>8736</v>
      </c>
      <c r="H34" s="64">
        <f t="shared" ref="H34" si="26">H32+H33</f>
        <v>8736</v>
      </c>
      <c r="I34" s="65">
        <f>I32+I33</f>
        <v>8736</v>
      </c>
      <c r="J34" s="61"/>
      <c r="K34" s="62"/>
      <c r="L34" s="63">
        <f>L32+L33</f>
        <v>8736</v>
      </c>
      <c r="M34" s="64">
        <f t="shared" ref="M34:N34" si="27">M32+M33</f>
        <v>8736</v>
      </c>
      <c r="N34" s="65">
        <f t="shared" si="27"/>
        <v>8736</v>
      </c>
      <c r="O34" s="61"/>
      <c r="P34" s="62"/>
      <c r="Q34" s="63">
        <f>Q32+Q33</f>
        <v>8736</v>
      </c>
      <c r="R34" s="64">
        <f t="shared" ref="R34:S34" si="28">R32+R33</f>
        <v>8736</v>
      </c>
      <c r="S34" s="65">
        <f t="shared" si="28"/>
        <v>8736</v>
      </c>
      <c r="T34" s="61"/>
      <c r="U34" s="57" t="s">
        <v>24</v>
      </c>
      <c r="V34" s="58">
        <f>V33*-0.22</f>
        <v>-2464</v>
      </c>
      <c r="W34" s="59">
        <f t="shared" ref="W34:X34" si="29">W33*-0.22</f>
        <v>-2464</v>
      </c>
      <c r="X34" s="60">
        <f t="shared" si="29"/>
        <v>-2464</v>
      </c>
    </row>
    <row r="35" spans="1:24" x14ac:dyDescent="0.3">
      <c r="A35" s="40" t="s">
        <v>25</v>
      </c>
      <c r="B35" s="36">
        <f>B27</f>
        <v>619.15</v>
      </c>
      <c r="C35" s="37">
        <f>C27</f>
        <v>1672.65</v>
      </c>
      <c r="D35" s="38">
        <f>D27</f>
        <v>2319.9</v>
      </c>
      <c r="E35" s="61"/>
      <c r="F35" s="62"/>
      <c r="G35" s="63"/>
      <c r="H35" s="64"/>
      <c r="I35" s="65"/>
      <c r="J35" s="61"/>
      <c r="K35" s="62"/>
      <c r="L35" s="63"/>
      <c r="M35" s="64"/>
      <c r="N35" s="65"/>
      <c r="O35" s="61"/>
      <c r="P35" s="62"/>
      <c r="Q35" s="63"/>
      <c r="R35" s="64"/>
      <c r="S35" s="65"/>
      <c r="T35" s="61"/>
      <c r="U35" s="62"/>
      <c r="V35" s="63">
        <f>V33+V34</f>
        <v>8736</v>
      </c>
      <c r="W35" s="64">
        <f t="shared" ref="W35:X35" si="30">W33+W34</f>
        <v>8736</v>
      </c>
      <c r="X35" s="65">
        <f t="shared" si="30"/>
        <v>8736</v>
      </c>
    </row>
    <row r="36" spans="1:24" ht="15" thickBot="1" x14ac:dyDescent="0.35">
      <c r="A36" s="66" t="s">
        <v>26</v>
      </c>
      <c r="B36" s="67">
        <f>B32</f>
        <v>8736</v>
      </c>
      <c r="C36" s="68">
        <f>C32</f>
        <v>8736</v>
      </c>
      <c r="D36" s="69">
        <f>D32</f>
        <v>8736</v>
      </c>
      <c r="E36" s="39"/>
      <c r="F36" s="78" t="s">
        <v>57</v>
      </c>
      <c r="G36" s="78"/>
      <c r="H36" s="78"/>
      <c r="I36" s="78"/>
      <c r="J36" s="12"/>
      <c r="K36" s="78" t="s">
        <v>57</v>
      </c>
      <c r="L36" s="78"/>
      <c r="M36" s="78"/>
      <c r="N36" s="78"/>
      <c r="O36" s="12"/>
      <c r="P36" s="78" t="s">
        <v>57</v>
      </c>
      <c r="Q36" s="78"/>
      <c r="R36" s="78"/>
      <c r="S36" s="78"/>
      <c r="T36" s="39"/>
      <c r="U36" s="62"/>
      <c r="V36" s="63"/>
      <c r="W36" s="64"/>
      <c r="X36" s="65"/>
    </row>
    <row r="37" spans="1:24" ht="15" thickTop="1" x14ac:dyDescent="0.3">
      <c r="A37" s="50" t="s">
        <v>27</v>
      </c>
      <c r="B37" s="51">
        <f>B35+B36</f>
        <v>9355.15</v>
      </c>
      <c r="C37" s="52">
        <f t="shared" ref="C37:D37" si="31">C35+C36</f>
        <v>10408.65</v>
      </c>
      <c r="D37" s="53">
        <f t="shared" si="31"/>
        <v>11055.9</v>
      </c>
      <c r="E37" s="12"/>
      <c r="F37" s="40" t="s">
        <v>25</v>
      </c>
      <c r="G37" s="36">
        <f>G29</f>
        <v>-6954.8000000000011</v>
      </c>
      <c r="H37" s="37">
        <f>H29</f>
        <v>-554.60000000000036</v>
      </c>
      <c r="I37" s="38">
        <f>I29</f>
        <v>7595.6233000000011</v>
      </c>
      <c r="J37" s="12"/>
      <c r="K37" s="40" t="s">
        <v>25</v>
      </c>
      <c r="L37" s="36">
        <f>L29</f>
        <v>-9426.7999999999993</v>
      </c>
      <c r="M37" s="37">
        <f>M29</f>
        <v>-3026.5999999999985</v>
      </c>
      <c r="N37" s="38">
        <f>N29</f>
        <v>5798.4793000000009</v>
      </c>
      <c r="O37" s="12"/>
      <c r="P37" s="40" t="s">
        <v>25</v>
      </c>
      <c r="Q37" s="36">
        <f>Q29</f>
        <v>-6472.1</v>
      </c>
      <c r="R37" s="37">
        <f>R29</f>
        <v>-484.10000000000036</v>
      </c>
      <c r="S37" s="38">
        <f>S29</f>
        <v>7552.0033000000012</v>
      </c>
      <c r="T37" s="12"/>
      <c r="U37" s="78" t="s">
        <v>57</v>
      </c>
      <c r="V37" s="78"/>
      <c r="W37" s="78"/>
      <c r="X37" s="78"/>
    </row>
    <row r="38" spans="1:24" ht="15" thickBot="1" x14ac:dyDescent="0.35">
      <c r="A38" s="24"/>
      <c r="B38" s="25"/>
      <c r="C38" s="26"/>
      <c r="D38" s="27"/>
      <c r="E38" s="12"/>
      <c r="F38" s="66" t="s">
        <v>26</v>
      </c>
      <c r="G38" s="67">
        <f>G34</f>
        <v>8736</v>
      </c>
      <c r="H38" s="68">
        <f>H34</f>
        <v>8736</v>
      </c>
      <c r="I38" s="69">
        <f>I34</f>
        <v>8736</v>
      </c>
      <c r="J38" s="61"/>
      <c r="K38" s="66" t="s">
        <v>26</v>
      </c>
      <c r="L38" s="67">
        <f>L34</f>
        <v>8736</v>
      </c>
      <c r="M38" s="68">
        <f>M34</f>
        <v>8736</v>
      </c>
      <c r="N38" s="69">
        <f>N34</f>
        <v>8736</v>
      </c>
      <c r="O38" s="61"/>
      <c r="P38" s="66" t="s">
        <v>26</v>
      </c>
      <c r="Q38" s="67">
        <f>Q34</f>
        <v>8736</v>
      </c>
      <c r="R38" s="68">
        <f>R34</f>
        <v>8736</v>
      </c>
      <c r="S38" s="69">
        <f>S34</f>
        <v>8736</v>
      </c>
      <c r="T38" s="12"/>
      <c r="U38" s="40" t="s">
        <v>25</v>
      </c>
      <c r="V38" s="36">
        <f>V30</f>
        <v>-14954.8</v>
      </c>
      <c r="W38" s="37">
        <f>W30</f>
        <v>-9221.5999999999985</v>
      </c>
      <c r="X38" s="38">
        <f>X30</f>
        <v>325.62330000000105</v>
      </c>
    </row>
    <row r="39" spans="1:24" ht="15.6" thickTop="1" thickBot="1" x14ac:dyDescent="0.35">
      <c r="A39" s="12"/>
      <c r="B39" s="12"/>
      <c r="C39" s="12"/>
      <c r="D39" s="12"/>
      <c r="E39" s="12"/>
      <c r="F39" s="50" t="s">
        <v>27</v>
      </c>
      <c r="G39" s="51">
        <f>G37+G38</f>
        <v>1781.1999999999989</v>
      </c>
      <c r="H39" s="52">
        <f t="shared" ref="H39:I39" si="32">H37+H38</f>
        <v>8181.4</v>
      </c>
      <c r="I39" s="53">
        <f t="shared" si="32"/>
        <v>16331.623300000001</v>
      </c>
      <c r="J39" s="39"/>
      <c r="K39" s="50" t="s">
        <v>27</v>
      </c>
      <c r="L39" s="70">
        <f>L37+L38</f>
        <v>-690.79999999999927</v>
      </c>
      <c r="M39" s="52">
        <f t="shared" ref="M39:N39" si="33">M37+M38</f>
        <v>5709.4000000000015</v>
      </c>
      <c r="N39" s="53">
        <f t="shared" si="33"/>
        <v>14534.479300000001</v>
      </c>
      <c r="O39" s="39"/>
      <c r="P39" s="50" t="s">
        <v>27</v>
      </c>
      <c r="Q39" s="51">
        <f>Q37+Q38</f>
        <v>2263.8999999999996</v>
      </c>
      <c r="R39" s="52">
        <f t="shared" ref="R39:S39" si="34">R37+R38</f>
        <v>8251.9</v>
      </c>
      <c r="S39" s="53">
        <f t="shared" si="34"/>
        <v>16288.0033</v>
      </c>
      <c r="T39" s="12"/>
      <c r="U39" s="66" t="s">
        <v>26</v>
      </c>
      <c r="V39" s="67">
        <f>V35</f>
        <v>8736</v>
      </c>
      <c r="W39" s="68">
        <f>W35</f>
        <v>8736</v>
      </c>
      <c r="X39" s="69">
        <f>X35</f>
        <v>8736</v>
      </c>
    </row>
    <row r="40" spans="1:24" ht="15" thickTop="1" x14ac:dyDescent="0.3">
      <c r="A40" s="12"/>
      <c r="B40" s="12"/>
      <c r="C40" s="12"/>
      <c r="D40" s="12"/>
      <c r="E40" s="12"/>
      <c r="F40" s="24"/>
      <c r="G40" s="25"/>
      <c r="H40" s="26"/>
      <c r="I40" s="27"/>
      <c r="J40" s="12"/>
      <c r="K40" s="24"/>
      <c r="L40" s="25"/>
      <c r="M40" s="26"/>
      <c r="N40" s="27"/>
      <c r="O40" s="12"/>
      <c r="P40" s="24"/>
      <c r="Q40" s="25"/>
      <c r="R40" s="26"/>
      <c r="S40" s="27"/>
      <c r="T40" s="12"/>
      <c r="U40" s="50" t="s">
        <v>27</v>
      </c>
      <c r="V40" s="70">
        <f>V38+V39</f>
        <v>-6218.7999999999993</v>
      </c>
      <c r="W40" s="83">
        <f t="shared" ref="W40:X40" si="35">W38+W39</f>
        <v>-485.59999999999854</v>
      </c>
      <c r="X40" s="53">
        <f t="shared" si="35"/>
        <v>9061.6233000000011</v>
      </c>
    </row>
    <row r="41" spans="1:24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4"/>
      <c r="V41" s="25"/>
      <c r="W41" s="26"/>
      <c r="X41" s="27"/>
    </row>
    <row r="42" spans="1:24" x14ac:dyDescent="0.3">
      <c r="A42" s="12"/>
      <c r="B42" s="12"/>
      <c r="C42" s="12"/>
      <c r="D42" s="12"/>
      <c r="E42" s="12"/>
    </row>
  </sheetData>
  <mergeCells count="40">
    <mergeCell ref="F36:I36"/>
    <mergeCell ref="K36:N36"/>
    <mergeCell ref="P36:S36"/>
    <mergeCell ref="U37:X37"/>
    <mergeCell ref="A29:D29"/>
    <mergeCell ref="F31:I31"/>
    <mergeCell ref="K31:N31"/>
    <mergeCell ref="P31:S31"/>
    <mergeCell ref="U32:X32"/>
    <mergeCell ref="A34:D34"/>
    <mergeCell ref="U21:X21"/>
    <mergeCell ref="A24:D24"/>
    <mergeCell ref="F26:I26"/>
    <mergeCell ref="K26:N26"/>
    <mergeCell ref="P26:S26"/>
    <mergeCell ref="U27:X27"/>
    <mergeCell ref="F15:I15"/>
    <mergeCell ref="K15:N15"/>
    <mergeCell ref="P15:S15"/>
    <mergeCell ref="U16:X16"/>
    <mergeCell ref="A18:D18"/>
    <mergeCell ref="F20:I20"/>
    <mergeCell ref="K20:N20"/>
    <mergeCell ref="P20:S20"/>
    <mergeCell ref="A8:D8"/>
    <mergeCell ref="F8:I8"/>
    <mergeCell ref="K8:N8"/>
    <mergeCell ref="P8:S8"/>
    <mergeCell ref="U8:X8"/>
    <mergeCell ref="A13:D13"/>
    <mergeCell ref="A1:D1"/>
    <mergeCell ref="F1:I1"/>
    <mergeCell ref="K1:N1"/>
    <mergeCell ref="P1:S1"/>
    <mergeCell ref="U1:X1"/>
    <mergeCell ref="A3:D3"/>
    <mergeCell ref="F3:I3"/>
    <mergeCell ref="K3:N3"/>
    <mergeCell ref="P3:S3"/>
    <mergeCell ref="U3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DE1A-8C7D-4C44-B098-3632E07A5590}">
  <dimension ref="A1:X42"/>
  <sheetViews>
    <sheetView zoomScale="120" zoomScaleNormal="120" workbookViewId="0">
      <selection activeCell="C22" sqref="C22"/>
    </sheetView>
  </sheetViews>
  <sheetFormatPr defaultRowHeight="14.4" x14ac:dyDescent="0.3"/>
  <cols>
    <col min="1" max="1" width="15.77734375" bestFit="1" customWidth="1"/>
    <col min="2" max="2" width="13.77734375" bestFit="1" customWidth="1"/>
    <col min="3" max="3" width="15.109375" bestFit="1" customWidth="1"/>
    <col min="4" max="4" width="12.109375" bestFit="1" customWidth="1"/>
    <col min="6" max="6" width="15.21875" bestFit="1" customWidth="1"/>
    <col min="7" max="7" width="13.77734375" bestFit="1" customWidth="1"/>
    <col min="8" max="8" width="15.109375" bestFit="1" customWidth="1"/>
    <col min="9" max="9" width="12.109375" bestFit="1" customWidth="1"/>
    <col min="11" max="11" width="15.21875" bestFit="1" customWidth="1"/>
    <col min="12" max="12" width="13.77734375" bestFit="1" customWidth="1"/>
    <col min="13" max="13" width="15.109375" bestFit="1" customWidth="1"/>
    <col min="14" max="14" width="12.109375" bestFit="1" customWidth="1"/>
    <col min="16" max="16" width="15.21875" bestFit="1" customWidth="1"/>
    <col min="17" max="17" width="13.77734375" bestFit="1" customWidth="1"/>
    <col min="18" max="18" width="15.109375" bestFit="1" customWidth="1"/>
    <col min="19" max="19" width="12.109375" bestFit="1" customWidth="1"/>
    <col min="21" max="21" width="15.21875" bestFit="1" customWidth="1"/>
    <col min="22" max="22" width="13.77734375" bestFit="1" customWidth="1"/>
    <col min="23" max="23" width="15.109375" bestFit="1" customWidth="1"/>
    <col min="24" max="24" width="12.109375" bestFit="1" customWidth="1"/>
  </cols>
  <sheetData>
    <row r="1" spans="1:24" x14ac:dyDescent="0.3">
      <c r="A1" s="77" t="s">
        <v>17</v>
      </c>
      <c r="B1" s="77"/>
      <c r="C1" s="77"/>
      <c r="D1" s="77"/>
      <c r="E1" s="12"/>
      <c r="F1" s="77" t="s">
        <v>33</v>
      </c>
      <c r="G1" s="77"/>
      <c r="H1" s="77"/>
      <c r="I1" s="77"/>
      <c r="J1" s="12"/>
      <c r="K1" s="77" t="s">
        <v>34</v>
      </c>
      <c r="L1" s="77"/>
      <c r="M1" s="77"/>
      <c r="N1" s="77"/>
      <c r="O1" s="12"/>
      <c r="P1" s="77" t="s">
        <v>35</v>
      </c>
      <c r="Q1" s="77"/>
      <c r="R1" s="77"/>
      <c r="S1" s="77"/>
      <c r="T1" s="12"/>
      <c r="U1" s="77" t="s">
        <v>36</v>
      </c>
      <c r="V1" s="77"/>
      <c r="W1" s="77"/>
      <c r="X1" s="77"/>
    </row>
    <row r="2" spans="1:24" x14ac:dyDescent="0.3">
      <c r="A2" s="13"/>
      <c r="B2" s="14" t="s">
        <v>3</v>
      </c>
      <c r="C2" s="15" t="s">
        <v>5</v>
      </c>
      <c r="D2" s="16" t="s">
        <v>4</v>
      </c>
      <c r="E2" s="12"/>
      <c r="F2" s="13"/>
      <c r="G2" s="14" t="s">
        <v>3</v>
      </c>
      <c r="H2" s="15" t="s">
        <v>5</v>
      </c>
      <c r="I2" s="16" t="s">
        <v>4</v>
      </c>
      <c r="J2" s="12"/>
      <c r="K2" s="13"/>
      <c r="L2" s="14" t="s">
        <v>3</v>
      </c>
      <c r="M2" s="15" t="s">
        <v>5</v>
      </c>
      <c r="N2" s="16" t="s">
        <v>4</v>
      </c>
      <c r="O2" s="12"/>
      <c r="P2" s="13"/>
      <c r="Q2" s="14" t="s">
        <v>3</v>
      </c>
      <c r="R2" s="15" t="s">
        <v>5</v>
      </c>
      <c r="S2" s="16" t="s">
        <v>4</v>
      </c>
      <c r="T2" s="12"/>
      <c r="U2" s="13"/>
      <c r="V2" s="14" t="s">
        <v>3</v>
      </c>
      <c r="W2" s="15" t="s">
        <v>5</v>
      </c>
      <c r="X2" s="16" t="s">
        <v>4</v>
      </c>
    </row>
    <row r="3" spans="1:24" x14ac:dyDescent="0.3">
      <c r="A3" s="78" t="s">
        <v>13</v>
      </c>
      <c r="B3" s="78"/>
      <c r="C3" s="78"/>
      <c r="D3" s="78"/>
      <c r="E3" s="12"/>
      <c r="F3" s="78" t="s">
        <v>13</v>
      </c>
      <c r="G3" s="78"/>
      <c r="H3" s="78"/>
      <c r="I3" s="78"/>
      <c r="J3" s="12"/>
      <c r="K3" s="78" t="s">
        <v>13</v>
      </c>
      <c r="L3" s="78"/>
      <c r="M3" s="78"/>
      <c r="N3" s="78"/>
      <c r="O3" s="12"/>
      <c r="P3" s="78" t="s">
        <v>13</v>
      </c>
      <c r="Q3" s="78"/>
      <c r="R3" s="78"/>
      <c r="S3" s="78"/>
      <c r="T3" s="12"/>
      <c r="U3" s="78" t="s">
        <v>13</v>
      </c>
      <c r="V3" s="78"/>
      <c r="W3" s="78"/>
      <c r="X3" s="78"/>
    </row>
    <row r="4" spans="1:24" x14ac:dyDescent="0.3">
      <c r="A4" s="40" t="s">
        <v>8</v>
      </c>
      <c r="B4" s="17">
        <v>2.5</v>
      </c>
      <c r="C4" s="18">
        <v>5</v>
      </c>
      <c r="D4" s="19">
        <v>6.5</v>
      </c>
      <c r="E4" s="12"/>
      <c r="F4" s="40" t="s">
        <v>8</v>
      </c>
      <c r="G4" s="17">
        <v>2.5</v>
      </c>
      <c r="H4" s="18">
        <v>5</v>
      </c>
      <c r="I4" s="19">
        <v>6.5</v>
      </c>
      <c r="J4" s="12"/>
      <c r="K4" s="40" t="s">
        <v>8</v>
      </c>
      <c r="L4" s="17">
        <v>2.5</v>
      </c>
      <c r="M4" s="18">
        <v>5</v>
      </c>
      <c r="N4" s="19">
        <v>6.5</v>
      </c>
      <c r="O4" s="12"/>
      <c r="P4" s="40" t="s">
        <v>8</v>
      </c>
      <c r="Q4" s="17">
        <v>2.5</v>
      </c>
      <c r="R4" s="18">
        <v>5</v>
      </c>
      <c r="S4" s="19">
        <v>6.5</v>
      </c>
      <c r="T4" s="12"/>
      <c r="U4" s="40" t="s">
        <v>8</v>
      </c>
      <c r="V4" s="17">
        <v>2.5</v>
      </c>
      <c r="W4" s="18">
        <v>5</v>
      </c>
      <c r="X4" s="19">
        <v>6.5</v>
      </c>
    </row>
    <row r="5" spans="1:24" x14ac:dyDescent="0.3">
      <c r="A5" s="20" t="s">
        <v>37</v>
      </c>
      <c r="B5" s="21">
        <f>B4*200</f>
        <v>500</v>
      </c>
      <c r="C5" s="22">
        <f>C4*200</f>
        <v>1000</v>
      </c>
      <c r="D5" s="23">
        <f>D4*200</f>
        <v>1300</v>
      </c>
      <c r="E5" s="12"/>
      <c r="F5" s="20" t="s">
        <v>37</v>
      </c>
      <c r="G5" s="21">
        <f>G4*200</f>
        <v>500</v>
      </c>
      <c r="H5" s="22">
        <f>H4*200</f>
        <v>1000</v>
      </c>
      <c r="I5" s="23">
        <f>I4*200</f>
        <v>1300</v>
      </c>
      <c r="J5" s="12"/>
      <c r="K5" s="20" t="s">
        <v>37</v>
      </c>
      <c r="L5" s="21">
        <f>L4*200</f>
        <v>500</v>
      </c>
      <c r="M5" s="22">
        <f>M4*200</f>
        <v>1000</v>
      </c>
      <c r="N5" s="23">
        <f>N4*200</f>
        <v>1300</v>
      </c>
      <c r="O5" s="12"/>
      <c r="P5" s="20" t="s">
        <v>37</v>
      </c>
      <c r="Q5" s="21">
        <f>Q4*200</f>
        <v>500</v>
      </c>
      <c r="R5" s="22">
        <f>R4*200</f>
        <v>1000</v>
      </c>
      <c r="S5" s="23">
        <f>S4*200</f>
        <v>1300</v>
      </c>
      <c r="T5" s="12"/>
      <c r="U5" s="20" t="s">
        <v>37</v>
      </c>
      <c r="V5" s="21">
        <f>V4*200</f>
        <v>500</v>
      </c>
      <c r="W5" s="22">
        <f>W4*200</f>
        <v>1000</v>
      </c>
      <c r="X5" s="23">
        <f>X4*200</f>
        <v>1300</v>
      </c>
    </row>
    <row r="6" spans="1:24" x14ac:dyDescent="0.3">
      <c r="A6" s="24" t="s">
        <v>13</v>
      </c>
      <c r="B6" s="25">
        <f>B5*30</f>
        <v>15000</v>
      </c>
      <c r="C6" s="26">
        <f t="shared" ref="C6:D6" si="0">C5*30</f>
        <v>30000</v>
      </c>
      <c r="D6" s="27">
        <f t="shared" si="0"/>
        <v>39000</v>
      </c>
      <c r="E6" s="12"/>
      <c r="F6" s="24" t="s">
        <v>13</v>
      </c>
      <c r="G6" s="25">
        <f>G5*30</f>
        <v>15000</v>
      </c>
      <c r="H6" s="26">
        <f t="shared" ref="H6:I6" si="1">H5*30</f>
        <v>30000</v>
      </c>
      <c r="I6" s="27">
        <f t="shared" si="1"/>
        <v>39000</v>
      </c>
      <c r="J6" s="12"/>
      <c r="K6" s="24" t="s">
        <v>13</v>
      </c>
      <c r="L6" s="25">
        <f>L5*30</f>
        <v>15000</v>
      </c>
      <c r="M6" s="26">
        <f t="shared" ref="M6:N6" si="2">M5*30</f>
        <v>30000</v>
      </c>
      <c r="N6" s="27">
        <f t="shared" si="2"/>
        <v>39000</v>
      </c>
      <c r="O6" s="12"/>
      <c r="P6" s="24" t="s">
        <v>13</v>
      </c>
      <c r="Q6" s="25">
        <f>Q5*30</f>
        <v>15000</v>
      </c>
      <c r="R6" s="26">
        <f t="shared" ref="R6:S6" si="3">R5*30</f>
        <v>30000</v>
      </c>
      <c r="S6" s="27">
        <f t="shared" si="3"/>
        <v>39000</v>
      </c>
      <c r="T6" s="12"/>
      <c r="U6" s="24" t="s">
        <v>13</v>
      </c>
      <c r="V6" s="25">
        <f>V5*30</f>
        <v>15000</v>
      </c>
      <c r="W6" s="26">
        <f t="shared" ref="W6:X6" si="4">W5*30</f>
        <v>30000</v>
      </c>
      <c r="X6" s="27">
        <f t="shared" si="4"/>
        <v>39000</v>
      </c>
    </row>
    <row r="7" spans="1:24" x14ac:dyDescent="0.3">
      <c r="A7" s="24"/>
      <c r="B7" s="25"/>
      <c r="C7" s="26"/>
      <c r="D7" s="27"/>
      <c r="E7" s="12"/>
      <c r="F7" s="24"/>
      <c r="G7" s="25"/>
      <c r="H7" s="26"/>
      <c r="I7" s="27"/>
      <c r="J7" s="12"/>
      <c r="K7" s="24"/>
      <c r="L7" s="25"/>
      <c r="M7" s="26"/>
      <c r="N7" s="27"/>
      <c r="O7" s="12"/>
      <c r="P7" s="24"/>
      <c r="Q7" s="25"/>
      <c r="R7" s="26"/>
      <c r="S7" s="27"/>
      <c r="T7" s="12"/>
      <c r="U7" s="24"/>
      <c r="V7" s="25"/>
      <c r="W7" s="26"/>
      <c r="X7" s="27"/>
    </row>
    <row r="8" spans="1:24" x14ac:dyDescent="0.3">
      <c r="A8" s="78" t="s">
        <v>55</v>
      </c>
      <c r="B8" s="78"/>
      <c r="C8" s="78"/>
      <c r="D8" s="78"/>
      <c r="E8" s="12"/>
      <c r="F8" s="78" t="s">
        <v>55</v>
      </c>
      <c r="G8" s="78"/>
      <c r="H8" s="78"/>
      <c r="I8" s="78"/>
      <c r="J8" s="12"/>
      <c r="K8" s="78" t="s">
        <v>55</v>
      </c>
      <c r="L8" s="78"/>
      <c r="M8" s="78"/>
      <c r="N8" s="78"/>
      <c r="O8" s="12"/>
      <c r="P8" s="78" t="s">
        <v>55</v>
      </c>
      <c r="Q8" s="78"/>
      <c r="R8" s="78"/>
      <c r="S8" s="78"/>
      <c r="T8" s="12"/>
      <c r="U8" s="78" t="s">
        <v>55</v>
      </c>
      <c r="V8" s="78"/>
      <c r="W8" s="78"/>
      <c r="X8" s="78"/>
    </row>
    <row r="9" spans="1:24" x14ac:dyDescent="0.3">
      <c r="A9" s="40" t="s">
        <v>7</v>
      </c>
      <c r="B9" s="28">
        <f>-2*200*30</f>
        <v>-12000</v>
      </c>
      <c r="C9" s="29">
        <f>-4*200*30</f>
        <v>-24000</v>
      </c>
      <c r="D9" s="19">
        <f>-5.25*200*30</f>
        <v>-31500</v>
      </c>
      <c r="E9" s="12"/>
      <c r="F9" s="40" t="s">
        <v>14</v>
      </c>
      <c r="G9" s="30">
        <f>-15.43*6*8*30</f>
        <v>-22219.200000000001</v>
      </c>
      <c r="H9" s="31">
        <f>-17.53*6*8*30</f>
        <v>-25243.200000000001</v>
      </c>
      <c r="I9" s="32">
        <f>-8.68*6*8*30</f>
        <v>-12499.199999999999</v>
      </c>
      <c r="J9" s="12"/>
      <c r="K9" s="40" t="s">
        <v>14</v>
      </c>
      <c r="L9" s="30">
        <f>-15.43*6*8*30</f>
        <v>-22219.200000000001</v>
      </c>
      <c r="M9" s="31">
        <f>-17.53*6*8*30</f>
        <v>-25243.200000000001</v>
      </c>
      <c r="N9" s="32">
        <f>-8.68*6*8*30</f>
        <v>-12499.199999999999</v>
      </c>
      <c r="O9" s="12"/>
      <c r="P9" s="40" t="s">
        <v>14</v>
      </c>
      <c r="Q9" s="30">
        <f>-15.43*6*8*30</f>
        <v>-22219.200000000001</v>
      </c>
      <c r="R9" s="31">
        <f>-17.53*6*8*30</f>
        <v>-25243.200000000001</v>
      </c>
      <c r="S9" s="32">
        <f>-8.68*6*8*30</f>
        <v>-12499.199999999999</v>
      </c>
      <c r="T9" s="12"/>
      <c r="U9" s="40" t="s">
        <v>14</v>
      </c>
      <c r="V9" s="30">
        <f>-15.43*6*8*30</f>
        <v>-22219.200000000001</v>
      </c>
      <c r="W9" s="31">
        <f>-17.53*6*8*30</f>
        <v>-25243.200000000001</v>
      </c>
      <c r="X9" s="32">
        <f>-8.68*6*8*30</f>
        <v>-12499.199999999999</v>
      </c>
    </row>
    <row r="10" spans="1:24" x14ac:dyDescent="0.3">
      <c r="A10" s="33" t="s">
        <v>0</v>
      </c>
      <c r="B10" s="21">
        <v>-50</v>
      </c>
      <c r="C10" s="22">
        <v>-50</v>
      </c>
      <c r="D10" s="34">
        <v>-50</v>
      </c>
      <c r="E10" s="12"/>
      <c r="F10" s="40" t="s">
        <v>15</v>
      </c>
      <c r="G10" s="28">
        <f>-676*3</f>
        <v>-2028</v>
      </c>
      <c r="H10" s="29">
        <f>-676*3</f>
        <v>-2028</v>
      </c>
      <c r="I10" s="19">
        <f>-676*3</f>
        <v>-2028</v>
      </c>
      <c r="J10" s="12"/>
      <c r="K10" s="40" t="s">
        <v>16</v>
      </c>
      <c r="L10" s="28">
        <f>-1500*3</f>
        <v>-4500</v>
      </c>
      <c r="M10" s="29">
        <f>-1500*3</f>
        <v>-4500</v>
      </c>
      <c r="N10" s="19">
        <f>-1500*3</f>
        <v>-4500</v>
      </c>
      <c r="O10" s="12"/>
      <c r="P10" s="40" t="s">
        <v>18</v>
      </c>
      <c r="Q10" s="28">
        <f>-31.25*6*30</f>
        <v>-5625</v>
      </c>
      <c r="R10" s="29">
        <f>-31.25*6*30</f>
        <v>-5625</v>
      </c>
      <c r="S10" s="19">
        <f>-31.25*6*30</f>
        <v>-5625</v>
      </c>
      <c r="T10" s="12"/>
      <c r="U10" s="40" t="s">
        <v>6</v>
      </c>
      <c r="V10" s="28">
        <v>-8000</v>
      </c>
      <c r="W10" s="29">
        <v>-8667</v>
      </c>
      <c r="X10" s="19">
        <v>-10000</v>
      </c>
    </row>
    <row r="11" spans="1:24" x14ac:dyDescent="0.3">
      <c r="A11" s="40" t="s">
        <v>1</v>
      </c>
      <c r="B11" s="28">
        <f>B10+B9</f>
        <v>-12050</v>
      </c>
      <c r="C11" s="29">
        <f t="shared" ref="C11:D11" si="5">C10+C9</f>
        <v>-24050</v>
      </c>
      <c r="D11" s="19">
        <f t="shared" si="5"/>
        <v>-31550</v>
      </c>
      <c r="E11" s="12"/>
      <c r="F11" s="40" t="s">
        <v>2</v>
      </c>
      <c r="G11" s="28">
        <f>-14.08*6*30</f>
        <v>-2534.4</v>
      </c>
      <c r="H11" s="29">
        <f>-9.5*6*30</f>
        <v>-1710</v>
      </c>
      <c r="I11" s="19">
        <f>-8.05*6*30</f>
        <v>-1449.0000000000002</v>
      </c>
      <c r="J11" s="12"/>
      <c r="K11" s="40" t="s">
        <v>2</v>
      </c>
      <c r="L11" s="28">
        <f>-14.08*6*30</f>
        <v>-2534.4</v>
      </c>
      <c r="M11" s="29">
        <f>-9.5*6*30</f>
        <v>-1710</v>
      </c>
      <c r="N11" s="19">
        <f>-8.05*6*30</f>
        <v>-1449.0000000000002</v>
      </c>
      <c r="O11" s="12"/>
      <c r="P11" s="33" t="s">
        <v>0</v>
      </c>
      <c r="Q11" s="21">
        <v>-50</v>
      </c>
      <c r="R11" s="22">
        <v>-50</v>
      </c>
      <c r="S11" s="34">
        <v>-50</v>
      </c>
      <c r="T11" s="12"/>
      <c r="U11" s="40" t="s">
        <v>15</v>
      </c>
      <c r="V11" s="28">
        <f>-676*3</f>
        <v>-2028</v>
      </c>
      <c r="W11" s="29">
        <f>-676*3</f>
        <v>-2028</v>
      </c>
      <c r="X11" s="19">
        <f>-676*3</f>
        <v>-2028</v>
      </c>
    </row>
    <row r="12" spans="1:24" x14ac:dyDescent="0.3">
      <c r="A12" s="24"/>
      <c r="B12" s="25"/>
      <c r="C12" s="26"/>
      <c r="D12" s="27"/>
      <c r="E12" s="12"/>
      <c r="F12" s="33" t="s">
        <v>0</v>
      </c>
      <c r="G12" s="21">
        <v>-50</v>
      </c>
      <c r="H12" s="22">
        <v>-50</v>
      </c>
      <c r="I12" s="34">
        <v>-50</v>
      </c>
      <c r="J12" s="12"/>
      <c r="K12" s="33" t="s">
        <v>0</v>
      </c>
      <c r="L12" s="21">
        <v>-50</v>
      </c>
      <c r="M12" s="22">
        <v>-50</v>
      </c>
      <c r="N12" s="34">
        <v>-50</v>
      </c>
      <c r="O12" s="12"/>
      <c r="P12" s="40" t="s">
        <v>1</v>
      </c>
      <c r="Q12" s="28">
        <f>SUM(Q9:Q11)</f>
        <v>-27894.2</v>
      </c>
      <c r="R12" s="29">
        <f>SUM(R9:R11)</f>
        <v>-30918.2</v>
      </c>
      <c r="S12" s="19">
        <f>SUM(S9:S11)</f>
        <v>-18174.199999999997</v>
      </c>
      <c r="T12" s="12"/>
      <c r="U12" s="40" t="s">
        <v>2</v>
      </c>
      <c r="V12" s="28">
        <f>-14.08*6*30</f>
        <v>-2534.4</v>
      </c>
      <c r="W12" s="29">
        <f>-9.5*6*30</f>
        <v>-1710</v>
      </c>
      <c r="X12" s="19">
        <f>-8.05*6*30</f>
        <v>-1449.0000000000002</v>
      </c>
    </row>
    <row r="13" spans="1:24" x14ac:dyDescent="0.3">
      <c r="A13" s="78" t="s">
        <v>56</v>
      </c>
      <c r="B13" s="78"/>
      <c r="C13" s="78"/>
      <c r="D13" s="78"/>
      <c r="E13" s="12"/>
      <c r="F13" s="40" t="s">
        <v>1</v>
      </c>
      <c r="G13" s="28">
        <f>SUM(G9:G12)</f>
        <v>-26831.600000000002</v>
      </c>
      <c r="H13" s="29">
        <f>SUM(H9:H12)</f>
        <v>-29031.200000000001</v>
      </c>
      <c r="I13" s="19">
        <f>SUM(I9:I12)</f>
        <v>-16026.199999999999</v>
      </c>
      <c r="J13" s="12"/>
      <c r="K13" s="40" t="s">
        <v>1</v>
      </c>
      <c r="L13" s="28">
        <f>SUM(L9:L12)</f>
        <v>-29303.600000000002</v>
      </c>
      <c r="M13" s="29">
        <f t="shared" ref="M13:N13" si="6">SUM(M9:M12)</f>
        <v>-31503.200000000001</v>
      </c>
      <c r="N13" s="19">
        <f t="shared" si="6"/>
        <v>-18498.199999999997</v>
      </c>
      <c r="O13" s="12"/>
      <c r="P13" s="40"/>
      <c r="Q13" s="28"/>
      <c r="R13" s="29"/>
      <c r="S13" s="35"/>
      <c r="T13" s="12"/>
      <c r="U13" s="33" t="s">
        <v>0</v>
      </c>
      <c r="V13" s="21">
        <v>-50</v>
      </c>
      <c r="W13" s="22">
        <v>-50</v>
      </c>
      <c r="X13" s="34">
        <v>-50</v>
      </c>
    </row>
    <row r="14" spans="1:24" x14ac:dyDescent="0.3">
      <c r="A14" s="24" t="s">
        <v>13</v>
      </c>
      <c r="B14" s="25">
        <f>B6</f>
        <v>15000</v>
      </c>
      <c r="C14" s="26">
        <f>C6</f>
        <v>30000</v>
      </c>
      <c r="D14" s="27">
        <f>D6</f>
        <v>39000</v>
      </c>
      <c r="E14" s="12"/>
      <c r="F14" s="40"/>
      <c r="G14" s="28"/>
      <c r="H14" s="29"/>
      <c r="I14" s="35"/>
      <c r="J14" s="12"/>
      <c r="K14" s="40"/>
      <c r="L14" s="28"/>
      <c r="M14" s="29"/>
      <c r="N14" s="35"/>
      <c r="O14" s="12"/>
      <c r="P14" s="40"/>
      <c r="Q14" s="28"/>
      <c r="R14" s="29"/>
      <c r="S14" s="35"/>
      <c r="T14" s="12"/>
      <c r="U14" s="40" t="s">
        <v>1</v>
      </c>
      <c r="V14" s="28">
        <f>SUM(V9:V13)</f>
        <v>-34831.599999999999</v>
      </c>
      <c r="W14" s="29">
        <f>SUM(W9:W13)</f>
        <v>-37698.199999999997</v>
      </c>
      <c r="X14" s="19">
        <f>SUM(X9:X13)</f>
        <v>-26026.199999999997</v>
      </c>
    </row>
    <row r="15" spans="1:24" x14ac:dyDescent="0.3">
      <c r="A15" s="33" t="s">
        <v>1</v>
      </c>
      <c r="B15" s="21">
        <f>B11</f>
        <v>-12050</v>
      </c>
      <c r="C15" s="22">
        <f>C11</f>
        <v>-24050</v>
      </c>
      <c r="D15" s="34">
        <f>D11</f>
        <v>-31550</v>
      </c>
      <c r="E15" s="12"/>
      <c r="F15" s="78" t="s">
        <v>56</v>
      </c>
      <c r="G15" s="78"/>
      <c r="H15" s="78"/>
      <c r="I15" s="78"/>
      <c r="J15" s="12"/>
      <c r="K15" s="78" t="s">
        <v>56</v>
      </c>
      <c r="L15" s="78"/>
      <c r="M15" s="78"/>
      <c r="N15" s="78"/>
      <c r="O15" s="12"/>
      <c r="P15" s="78" t="s">
        <v>56</v>
      </c>
      <c r="Q15" s="78"/>
      <c r="R15" s="78"/>
      <c r="S15" s="78"/>
      <c r="T15" s="12"/>
      <c r="U15" s="40"/>
      <c r="V15" s="28"/>
      <c r="W15" s="29"/>
      <c r="X15" s="19"/>
    </row>
    <row r="16" spans="1:24" x14ac:dyDescent="0.3">
      <c r="A16" s="24" t="s">
        <v>11</v>
      </c>
      <c r="B16" s="36">
        <f>B14+B15</f>
        <v>2950</v>
      </c>
      <c r="C16" s="37">
        <f>C14+C15</f>
        <v>5950</v>
      </c>
      <c r="D16" s="38">
        <f>D14+D15</f>
        <v>7450</v>
      </c>
      <c r="E16" s="39"/>
      <c r="F16" s="24" t="s">
        <v>13</v>
      </c>
      <c r="G16" s="25">
        <f>G6</f>
        <v>15000</v>
      </c>
      <c r="H16" s="26">
        <f>H6</f>
        <v>30000</v>
      </c>
      <c r="I16" s="27">
        <f>I6</f>
        <v>39000</v>
      </c>
      <c r="J16" s="12"/>
      <c r="K16" s="24" t="s">
        <v>13</v>
      </c>
      <c r="L16" s="25">
        <f>L6</f>
        <v>15000</v>
      </c>
      <c r="M16" s="26">
        <f>M6</f>
        <v>30000</v>
      </c>
      <c r="N16" s="27">
        <f>N6</f>
        <v>39000</v>
      </c>
      <c r="O16" s="12"/>
      <c r="P16" s="24" t="s">
        <v>13</v>
      </c>
      <c r="Q16" s="25">
        <f>Q6</f>
        <v>15000</v>
      </c>
      <c r="R16" s="26">
        <f>R6</f>
        <v>30000</v>
      </c>
      <c r="S16" s="27">
        <f>S6</f>
        <v>39000</v>
      </c>
      <c r="T16" s="12"/>
      <c r="U16" s="78" t="s">
        <v>56</v>
      </c>
      <c r="V16" s="78"/>
      <c r="W16" s="78"/>
      <c r="X16" s="78"/>
    </row>
    <row r="17" spans="1:24" x14ac:dyDescent="0.3">
      <c r="A17" s="24"/>
      <c r="B17" s="25"/>
      <c r="C17" s="26"/>
      <c r="D17" s="27"/>
      <c r="E17" s="39"/>
      <c r="F17" s="33" t="s">
        <v>1</v>
      </c>
      <c r="G17" s="21">
        <f>G13</f>
        <v>-26831.600000000002</v>
      </c>
      <c r="H17" s="22">
        <f t="shared" ref="H17:I17" si="7">H13</f>
        <v>-29031.200000000001</v>
      </c>
      <c r="I17" s="23">
        <f t="shared" si="7"/>
        <v>-16026.199999999999</v>
      </c>
      <c r="J17" s="12"/>
      <c r="K17" s="33" t="s">
        <v>1</v>
      </c>
      <c r="L17" s="21">
        <f>L13</f>
        <v>-29303.600000000002</v>
      </c>
      <c r="M17" s="22">
        <f t="shared" ref="M17:N17" si="8">M13</f>
        <v>-31503.200000000001</v>
      </c>
      <c r="N17" s="23">
        <f t="shared" si="8"/>
        <v>-18498.199999999997</v>
      </c>
      <c r="O17" s="12"/>
      <c r="P17" s="33" t="s">
        <v>1</v>
      </c>
      <c r="Q17" s="21">
        <f>Q12</f>
        <v>-27894.2</v>
      </c>
      <c r="R17" s="22">
        <f>R12</f>
        <v>-30918.2</v>
      </c>
      <c r="S17" s="23">
        <f>S12</f>
        <v>-18174.199999999997</v>
      </c>
      <c r="T17" s="12"/>
      <c r="U17" s="24" t="s">
        <v>13</v>
      </c>
      <c r="V17" s="25">
        <f>V6</f>
        <v>15000</v>
      </c>
      <c r="W17" s="26">
        <f>W6</f>
        <v>30000</v>
      </c>
      <c r="X17" s="27">
        <f>X6</f>
        <v>39000</v>
      </c>
    </row>
    <row r="18" spans="1:24" x14ac:dyDescent="0.3">
      <c r="A18" s="78" t="s">
        <v>10</v>
      </c>
      <c r="B18" s="78"/>
      <c r="C18" s="78"/>
      <c r="D18" s="78"/>
      <c r="E18" s="39"/>
      <c r="F18" s="24" t="s">
        <v>11</v>
      </c>
      <c r="G18" s="1">
        <f>G16+G17</f>
        <v>-11831.600000000002</v>
      </c>
      <c r="H18" s="37">
        <f>H16+H17</f>
        <v>968.79999999999927</v>
      </c>
      <c r="I18" s="38">
        <f>I16+I17</f>
        <v>22973.800000000003</v>
      </c>
      <c r="J18" s="12"/>
      <c r="K18" s="24" t="s">
        <v>11</v>
      </c>
      <c r="L18" s="1">
        <f>L16+L17</f>
        <v>-14303.600000000002</v>
      </c>
      <c r="M18" s="81">
        <f t="shared" ref="M18:N18" si="9">M16+M17</f>
        <v>-1503.2000000000007</v>
      </c>
      <c r="N18" s="38">
        <f t="shared" si="9"/>
        <v>20501.800000000003</v>
      </c>
      <c r="O18" s="12"/>
      <c r="P18" s="24" t="s">
        <v>11</v>
      </c>
      <c r="Q18" s="1">
        <f>Q16+Q17</f>
        <v>-12894.2</v>
      </c>
      <c r="R18" s="81">
        <f t="shared" ref="R18:S18" si="10">R16+R17</f>
        <v>-918.20000000000073</v>
      </c>
      <c r="S18" s="38">
        <f t="shared" si="10"/>
        <v>20825.800000000003</v>
      </c>
      <c r="T18" s="12"/>
      <c r="U18" s="33" t="s">
        <v>1</v>
      </c>
      <c r="V18" s="21">
        <f>V14</f>
        <v>-34831.599999999999</v>
      </c>
      <c r="W18" s="22">
        <f>W14</f>
        <v>-37698.199999999997</v>
      </c>
      <c r="X18" s="23">
        <f>X14</f>
        <v>-26026.199999999997</v>
      </c>
    </row>
    <row r="19" spans="1:24" x14ac:dyDescent="0.3">
      <c r="A19" s="40" t="s">
        <v>53</v>
      </c>
      <c r="B19" s="36">
        <f>B16*-0.22</f>
        <v>-649</v>
      </c>
      <c r="C19" s="37">
        <f>C16*-0.22</f>
        <v>-1309</v>
      </c>
      <c r="D19" s="38">
        <f>D16*-0.22</f>
        <v>-1639</v>
      </c>
      <c r="E19" s="12"/>
      <c r="F19" s="24"/>
      <c r="G19" s="36"/>
      <c r="H19" s="37"/>
      <c r="I19" s="38"/>
      <c r="J19" s="12"/>
      <c r="K19" s="24"/>
      <c r="L19" s="36"/>
      <c r="M19" s="37"/>
      <c r="N19" s="38"/>
      <c r="O19" s="12"/>
      <c r="P19" s="24"/>
      <c r="Q19" s="36"/>
      <c r="R19" s="37"/>
      <c r="S19" s="38"/>
      <c r="T19" s="12"/>
      <c r="U19" s="24" t="s">
        <v>11</v>
      </c>
      <c r="V19" s="1">
        <f>V17+V18</f>
        <v>-19831.599999999999</v>
      </c>
      <c r="W19" s="81">
        <f t="shared" ref="W19:X19" si="11">W17+W18</f>
        <v>-7698.1999999999971</v>
      </c>
      <c r="X19" s="38">
        <f t="shared" si="11"/>
        <v>12973.800000000003</v>
      </c>
    </row>
    <row r="20" spans="1:24" x14ac:dyDescent="0.3">
      <c r="A20" s="40" t="s">
        <v>52</v>
      </c>
      <c r="B20" s="36">
        <f>B16*-0.2</f>
        <v>-590</v>
      </c>
      <c r="C20" s="37">
        <f>C16*-0.06</f>
        <v>-357</v>
      </c>
      <c r="D20" s="38">
        <v>0</v>
      </c>
      <c r="E20" s="12"/>
      <c r="F20" s="78" t="s">
        <v>10</v>
      </c>
      <c r="G20" s="78"/>
      <c r="H20" s="78"/>
      <c r="I20" s="78"/>
      <c r="J20" s="12"/>
      <c r="K20" s="78" t="s">
        <v>10</v>
      </c>
      <c r="L20" s="78"/>
      <c r="M20" s="78"/>
      <c r="N20" s="78"/>
      <c r="O20" s="12"/>
      <c r="P20" s="78" t="s">
        <v>10</v>
      </c>
      <c r="Q20" s="78"/>
      <c r="R20" s="78"/>
      <c r="S20" s="78"/>
      <c r="T20" s="39"/>
      <c r="U20" s="24"/>
      <c r="V20" s="36"/>
      <c r="W20" s="37"/>
      <c r="X20" s="38"/>
    </row>
    <row r="21" spans="1:24" x14ac:dyDescent="0.3">
      <c r="A21" s="41" t="s">
        <v>12</v>
      </c>
      <c r="B21" s="42">
        <f>B16*-0.153</f>
        <v>-451.34999999999997</v>
      </c>
      <c r="C21" s="43">
        <f>C16*-0.153</f>
        <v>-910.35</v>
      </c>
      <c r="D21" s="44">
        <f>D16*-0.153</f>
        <v>-1139.8499999999999</v>
      </c>
      <c r="E21" s="12"/>
      <c r="F21" s="40" t="s">
        <v>51</v>
      </c>
      <c r="G21" s="36">
        <v>0</v>
      </c>
      <c r="H21" s="37">
        <f t="shared" ref="H21:I21" si="12">H18*-0.12</f>
        <v>-116.25599999999991</v>
      </c>
      <c r="I21" s="38">
        <f t="shared" si="12"/>
        <v>-2756.8560000000002</v>
      </c>
      <c r="J21" s="12"/>
      <c r="K21" s="40" t="s">
        <v>51</v>
      </c>
      <c r="L21" s="36">
        <v>0</v>
      </c>
      <c r="M21" s="37">
        <v>0</v>
      </c>
      <c r="N21" s="38">
        <f t="shared" ref="N21:O21" si="13">N18*-0.12</f>
        <v>-2460.2160000000003</v>
      </c>
      <c r="O21" s="12"/>
      <c r="P21" s="40" t="s">
        <v>51</v>
      </c>
      <c r="Q21" s="36">
        <v>0</v>
      </c>
      <c r="R21" s="37">
        <v>0</v>
      </c>
      <c r="S21" s="38">
        <f t="shared" ref="S21:T21" si="14">S18*-0.12</f>
        <v>-2499.0960000000005</v>
      </c>
      <c r="T21" s="12"/>
      <c r="U21" s="78" t="s">
        <v>10</v>
      </c>
      <c r="V21" s="78"/>
      <c r="W21" s="78"/>
      <c r="X21" s="78"/>
    </row>
    <row r="22" spans="1:24" x14ac:dyDescent="0.3">
      <c r="A22" s="82" t="s">
        <v>54</v>
      </c>
      <c r="B22" s="36">
        <f>SUM(B19:B21)</f>
        <v>-1690.35</v>
      </c>
      <c r="C22" s="37">
        <f t="shared" ref="C22:D22" si="15">SUM(C19:C21)</f>
        <v>-2576.35</v>
      </c>
      <c r="D22" s="38">
        <f t="shared" si="15"/>
        <v>-2778.85</v>
      </c>
      <c r="E22" s="12"/>
      <c r="F22" s="40" t="s">
        <v>52</v>
      </c>
      <c r="G22" s="36">
        <v>0</v>
      </c>
      <c r="H22" s="37">
        <f>H18*-0.06</f>
        <v>-58.127999999999957</v>
      </c>
      <c r="I22" s="38">
        <v>0</v>
      </c>
      <c r="J22" s="12"/>
      <c r="K22" s="40" t="s">
        <v>52</v>
      </c>
      <c r="L22" s="36">
        <v>0</v>
      </c>
      <c r="M22" s="37">
        <v>0</v>
      </c>
      <c r="N22" s="38">
        <v>0</v>
      </c>
      <c r="O22" s="12"/>
      <c r="P22" s="40" t="s">
        <v>52</v>
      </c>
      <c r="Q22" s="36">
        <v>0</v>
      </c>
      <c r="R22" s="37">
        <v>0</v>
      </c>
      <c r="S22" s="38">
        <v>0</v>
      </c>
      <c r="T22" s="61"/>
      <c r="U22" s="40" t="s">
        <v>51</v>
      </c>
      <c r="V22" s="36">
        <v>0</v>
      </c>
      <c r="W22" s="37">
        <v>0</v>
      </c>
      <c r="X22" s="38">
        <f t="shared" ref="X22:Y22" si="16">X19*-0.12</f>
        <v>-1556.8560000000002</v>
      </c>
    </row>
    <row r="23" spans="1:24" x14ac:dyDescent="0.3">
      <c r="A23" s="82"/>
      <c r="B23" s="36"/>
      <c r="C23" s="37"/>
      <c r="D23" s="38"/>
      <c r="E23" s="12"/>
      <c r="F23" s="41" t="s">
        <v>12</v>
      </c>
      <c r="G23" s="42">
        <v>0</v>
      </c>
      <c r="H23" s="43">
        <f>H18*-0.153</f>
        <v>-148.2263999999999</v>
      </c>
      <c r="I23" s="44">
        <f>I18*-0.153</f>
        <v>-3514.9914000000003</v>
      </c>
      <c r="J23" s="12"/>
      <c r="K23" s="41" t="s">
        <v>12</v>
      </c>
      <c r="L23" s="42">
        <v>0</v>
      </c>
      <c r="M23" s="43">
        <v>0</v>
      </c>
      <c r="N23" s="44">
        <f>N18*-0.153</f>
        <v>-3136.7754000000004</v>
      </c>
      <c r="O23" s="12"/>
      <c r="P23" s="41" t="s">
        <v>12</v>
      </c>
      <c r="Q23" s="42">
        <v>0</v>
      </c>
      <c r="R23" s="43">
        <v>0</v>
      </c>
      <c r="S23" s="44">
        <f>S18*-0.153</f>
        <v>-3186.3474000000006</v>
      </c>
      <c r="T23" s="61"/>
      <c r="U23" s="40" t="s">
        <v>52</v>
      </c>
      <c r="V23" s="36">
        <v>0</v>
      </c>
      <c r="W23" s="37">
        <v>0</v>
      </c>
      <c r="X23" s="38">
        <v>0</v>
      </c>
    </row>
    <row r="24" spans="1:24" x14ac:dyDescent="0.3">
      <c r="A24" s="78" t="s">
        <v>59</v>
      </c>
      <c r="B24" s="78"/>
      <c r="C24" s="78"/>
      <c r="D24" s="78"/>
      <c r="E24" s="12"/>
      <c r="F24" s="82"/>
      <c r="G24" s="36">
        <f>SUM(G21:G23)</f>
        <v>0</v>
      </c>
      <c r="H24" s="37">
        <f t="shared" ref="H24:I24" si="17">SUM(H21:H23)</f>
        <v>-322.6103999999998</v>
      </c>
      <c r="I24" s="38">
        <f t="shared" si="17"/>
        <v>-6271.8474000000006</v>
      </c>
      <c r="J24" s="12"/>
      <c r="K24" s="82"/>
      <c r="L24" s="36">
        <f>SUM(L21:L23)</f>
        <v>0</v>
      </c>
      <c r="M24" s="37">
        <f t="shared" ref="M24:N24" si="18">SUM(M21:M23)</f>
        <v>0</v>
      </c>
      <c r="N24" s="38">
        <f t="shared" si="18"/>
        <v>-5596.9914000000008</v>
      </c>
      <c r="O24" s="12"/>
      <c r="P24" s="82"/>
      <c r="Q24" s="36">
        <f>SUM(Q21:Q23)</f>
        <v>0</v>
      </c>
      <c r="R24" s="37">
        <f t="shared" ref="R24:S24" si="19">SUM(R21:R23)</f>
        <v>0</v>
      </c>
      <c r="S24" s="38">
        <f t="shared" si="19"/>
        <v>-5685.443400000001</v>
      </c>
      <c r="T24" s="61"/>
      <c r="U24" s="41" t="s">
        <v>12</v>
      </c>
      <c r="V24" s="42">
        <v>0</v>
      </c>
      <c r="W24" s="43">
        <v>0</v>
      </c>
      <c r="X24" s="44">
        <f>X19*-0.153</f>
        <v>-1984.9914000000003</v>
      </c>
    </row>
    <row r="25" spans="1:24" x14ac:dyDescent="0.3">
      <c r="A25" s="24" t="s">
        <v>11</v>
      </c>
      <c r="B25" s="36">
        <f>B16</f>
        <v>2950</v>
      </c>
      <c r="C25" s="37">
        <f>C16</f>
        <v>5950</v>
      </c>
      <c r="D25" s="38">
        <f>D16</f>
        <v>7450</v>
      </c>
      <c r="E25" s="12"/>
      <c r="F25" s="82"/>
      <c r="G25" s="36"/>
      <c r="H25" s="37"/>
      <c r="I25" s="38"/>
      <c r="J25" s="12"/>
      <c r="K25" s="82"/>
      <c r="L25" s="36"/>
      <c r="M25" s="37"/>
      <c r="N25" s="38"/>
      <c r="O25" s="12"/>
      <c r="P25" s="82"/>
      <c r="Q25" s="36"/>
      <c r="R25" s="37"/>
      <c r="S25" s="38"/>
      <c r="T25" s="61"/>
      <c r="U25" s="82"/>
      <c r="V25" s="36">
        <f>SUM(V22:V24)</f>
        <v>0</v>
      </c>
      <c r="W25" s="37">
        <f t="shared" ref="W25:X25" si="20">SUM(W22:W24)</f>
        <v>0</v>
      </c>
      <c r="X25" s="38">
        <f t="shared" si="20"/>
        <v>-3541.8474000000006</v>
      </c>
    </row>
    <row r="26" spans="1:24" ht="15" thickBot="1" x14ac:dyDescent="0.35">
      <c r="A26" s="49" t="s">
        <v>54</v>
      </c>
      <c r="B26" s="46">
        <f>B22</f>
        <v>-1690.35</v>
      </c>
      <c r="C26" s="47">
        <f>C22</f>
        <v>-2576.35</v>
      </c>
      <c r="D26" s="48">
        <f>D22</f>
        <v>-2778.85</v>
      </c>
      <c r="E26" s="12"/>
      <c r="F26" s="78" t="s">
        <v>59</v>
      </c>
      <c r="G26" s="78"/>
      <c r="H26" s="78"/>
      <c r="I26" s="78"/>
      <c r="J26" s="12"/>
      <c r="K26" s="78" t="s">
        <v>59</v>
      </c>
      <c r="L26" s="78"/>
      <c r="M26" s="78"/>
      <c r="N26" s="78"/>
      <c r="O26" s="12"/>
      <c r="P26" s="78" t="s">
        <v>59</v>
      </c>
      <c r="Q26" s="78"/>
      <c r="R26" s="78"/>
      <c r="S26" s="78"/>
      <c r="T26" s="61"/>
      <c r="U26" s="82"/>
      <c r="V26" s="36"/>
      <c r="W26" s="37"/>
      <c r="X26" s="38"/>
    </row>
    <row r="27" spans="1:24" ht="15" thickTop="1" x14ac:dyDescent="0.3">
      <c r="A27" s="50" t="s">
        <v>27</v>
      </c>
      <c r="B27" s="51">
        <f>B25+B26</f>
        <v>1259.6500000000001</v>
      </c>
      <c r="C27" s="52">
        <f>C25+C26</f>
        <v>3373.65</v>
      </c>
      <c r="D27" s="53">
        <f>D25+D26</f>
        <v>4671.1499999999996</v>
      </c>
      <c r="E27" s="12"/>
      <c r="F27" s="24" t="s">
        <v>11</v>
      </c>
      <c r="G27" s="36">
        <f>G18</f>
        <v>-11831.600000000002</v>
      </c>
      <c r="H27" s="37">
        <f>H18</f>
        <v>968.79999999999927</v>
      </c>
      <c r="I27" s="38">
        <f>I18</f>
        <v>22973.800000000003</v>
      </c>
      <c r="J27" s="12"/>
      <c r="K27" s="24" t="s">
        <v>11</v>
      </c>
      <c r="L27" s="36">
        <f>L18</f>
        <v>-14303.600000000002</v>
      </c>
      <c r="M27" s="37">
        <f>M18</f>
        <v>-1503.2000000000007</v>
      </c>
      <c r="N27" s="38">
        <f>N18</f>
        <v>20501.800000000003</v>
      </c>
      <c r="O27" s="12"/>
      <c r="P27" s="24" t="s">
        <v>11</v>
      </c>
      <c r="Q27" s="36">
        <f>Q18</f>
        <v>-12894.2</v>
      </c>
      <c r="R27" s="37">
        <f>R18</f>
        <v>-918.20000000000073</v>
      </c>
      <c r="S27" s="38">
        <f>S18</f>
        <v>20825.800000000003</v>
      </c>
      <c r="T27" s="12"/>
      <c r="U27" s="78" t="s">
        <v>59</v>
      </c>
      <c r="V27" s="78"/>
      <c r="W27" s="78"/>
      <c r="X27" s="78"/>
    </row>
    <row r="28" spans="1:24" ht="15" thickBot="1" x14ac:dyDescent="0.35">
      <c r="A28" s="24"/>
      <c r="B28" s="25"/>
      <c r="C28" s="26"/>
      <c r="D28" s="27"/>
      <c r="E28" s="39"/>
      <c r="F28" s="49" t="s">
        <v>54</v>
      </c>
      <c r="G28" s="46">
        <f>G24</f>
        <v>0</v>
      </c>
      <c r="H28" s="47">
        <f>H24</f>
        <v>-322.6103999999998</v>
      </c>
      <c r="I28" s="48">
        <f>I24</f>
        <v>-6271.8474000000006</v>
      </c>
      <c r="J28" s="12"/>
      <c r="K28" s="49" t="s">
        <v>54</v>
      </c>
      <c r="L28" s="46">
        <f>L24</f>
        <v>0</v>
      </c>
      <c r="M28" s="47">
        <f>M24</f>
        <v>0</v>
      </c>
      <c r="N28" s="48">
        <f>N24</f>
        <v>-5596.9914000000008</v>
      </c>
      <c r="O28" s="12"/>
      <c r="P28" s="49" t="s">
        <v>54</v>
      </c>
      <c r="Q28" s="46">
        <f>Q24</f>
        <v>0</v>
      </c>
      <c r="R28" s="47">
        <f>R24</f>
        <v>0</v>
      </c>
      <c r="S28" s="48">
        <f>S24</f>
        <v>-5685.443400000001</v>
      </c>
      <c r="T28" s="12"/>
      <c r="U28" s="24" t="s">
        <v>11</v>
      </c>
      <c r="V28" s="36">
        <f>V19</f>
        <v>-19831.599999999999</v>
      </c>
      <c r="W28" s="37">
        <f>W19</f>
        <v>-7698.1999999999971</v>
      </c>
      <c r="X28" s="38">
        <f>X19</f>
        <v>12973.800000000003</v>
      </c>
    </row>
    <row r="29" spans="1:24" ht="15.6" thickTop="1" thickBot="1" x14ac:dyDescent="0.35">
      <c r="A29" s="78" t="s">
        <v>58</v>
      </c>
      <c r="B29" s="78"/>
      <c r="C29" s="78"/>
      <c r="D29" s="78"/>
      <c r="E29" s="12"/>
      <c r="F29" s="50"/>
      <c r="G29" s="70">
        <f>G27+G28</f>
        <v>-11831.600000000002</v>
      </c>
      <c r="H29" s="52">
        <f>H27+H28</f>
        <v>646.18959999999947</v>
      </c>
      <c r="I29" s="53">
        <f>I27+I28</f>
        <v>16701.952600000004</v>
      </c>
      <c r="J29" s="39"/>
      <c r="K29" s="50"/>
      <c r="L29" s="70">
        <f>L27+L28</f>
        <v>-14303.600000000002</v>
      </c>
      <c r="M29" s="83">
        <f>M27+M28</f>
        <v>-1503.2000000000007</v>
      </c>
      <c r="N29" s="53">
        <f>N27+N28</f>
        <v>14904.808600000002</v>
      </c>
      <c r="O29" s="39"/>
      <c r="P29" s="50"/>
      <c r="Q29" s="70">
        <f>Q27+Q28</f>
        <v>-12894.2</v>
      </c>
      <c r="R29" s="83">
        <f>R27+R28</f>
        <v>-918.20000000000073</v>
      </c>
      <c r="S29" s="53">
        <f>S27+S28</f>
        <v>15140.356600000003</v>
      </c>
      <c r="T29" s="12"/>
      <c r="U29" s="49" t="s">
        <v>54</v>
      </c>
      <c r="V29" s="46">
        <f>V25</f>
        <v>0</v>
      </c>
      <c r="W29" s="47">
        <f>W25</f>
        <v>0</v>
      </c>
      <c r="X29" s="48">
        <f>X25</f>
        <v>-3541.8474000000006</v>
      </c>
    </row>
    <row r="30" spans="1:24" ht="15" thickTop="1" x14ac:dyDescent="0.3">
      <c r="A30" s="62" t="s">
        <v>23</v>
      </c>
      <c r="B30" s="54">
        <f>2800*4</f>
        <v>11200</v>
      </c>
      <c r="C30" s="55">
        <f>2800*4</f>
        <v>11200</v>
      </c>
      <c r="D30" s="56">
        <f>2800*4</f>
        <v>11200</v>
      </c>
      <c r="E30" s="61"/>
      <c r="F30" s="50"/>
      <c r="G30" s="51"/>
      <c r="H30" s="52"/>
      <c r="I30" s="53"/>
      <c r="J30" s="39"/>
      <c r="K30" s="50"/>
      <c r="L30" s="51"/>
      <c r="M30" s="52"/>
      <c r="N30" s="53"/>
      <c r="O30" s="39"/>
      <c r="P30" s="50"/>
      <c r="Q30" s="51"/>
      <c r="R30" s="52"/>
      <c r="S30" s="53"/>
      <c r="T30" s="61"/>
      <c r="U30" s="50"/>
      <c r="V30" s="70">
        <f>V28+V29</f>
        <v>-19831.599999999999</v>
      </c>
      <c r="W30" s="83">
        <f>W28+W29</f>
        <v>-7698.1999999999971</v>
      </c>
      <c r="X30" s="53">
        <f>X28+X29</f>
        <v>9431.9526000000023</v>
      </c>
    </row>
    <row r="31" spans="1:24" x14ac:dyDescent="0.3">
      <c r="A31" s="57" t="s">
        <v>24</v>
      </c>
      <c r="B31" s="58">
        <f>B30*-0.22</f>
        <v>-2464</v>
      </c>
      <c r="C31" s="59">
        <f t="shared" ref="C31:D31" si="21">C30*-0.22</f>
        <v>-2464</v>
      </c>
      <c r="D31" s="60">
        <f t="shared" si="21"/>
        <v>-2464</v>
      </c>
      <c r="E31" s="61"/>
      <c r="F31" s="78" t="s">
        <v>58</v>
      </c>
      <c r="G31" s="78"/>
      <c r="H31" s="78"/>
      <c r="I31" s="78"/>
      <c r="J31" s="12"/>
      <c r="K31" s="78" t="s">
        <v>58</v>
      </c>
      <c r="L31" s="78"/>
      <c r="M31" s="78"/>
      <c r="N31" s="78"/>
      <c r="O31" s="12"/>
      <c r="P31" s="78" t="s">
        <v>58</v>
      </c>
      <c r="Q31" s="78"/>
      <c r="R31" s="78"/>
      <c r="S31" s="78"/>
      <c r="T31" s="39"/>
      <c r="U31" s="50"/>
      <c r="V31" s="51"/>
      <c r="W31" s="52"/>
      <c r="X31" s="53"/>
    </row>
    <row r="32" spans="1:24" x14ac:dyDescent="0.3">
      <c r="A32" s="62" t="s">
        <v>60</v>
      </c>
      <c r="B32" s="63">
        <f>B30+B31</f>
        <v>8736</v>
      </c>
      <c r="C32" s="64">
        <f t="shared" ref="C32:D32" si="22">C30+C31</f>
        <v>8736</v>
      </c>
      <c r="D32" s="65">
        <f t="shared" si="22"/>
        <v>8736</v>
      </c>
      <c r="E32" s="61"/>
      <c r="F32" s="62" t="s">
        <v>23</v>
      </c>
      <c r="G32" s="54">
        <f>2800*4</f>
        <v>11200</v>
      </c>
      <c r="H32" s="55">
        <f>2800*4</f>
        <v>11200</v>
      </c>
      <c r="I32" s="56">
        <f>2800*4</f>
        <v>11200</v>
      </c>
      <c r="J32" s="61"/>
      <c r="K32" s="62" t="s">
        <v>23</v>
      </c>
      <c r="L32" s="54">
        <f>2800*4</f>
        <v>11200</v>
      </c>
      <c r="M32" s="55">
        <f>2800*4</f>
        <v>11200</v>
      </c>
      <c r="N32" s="56">
        <f>2800*4</f>
        <v>11200</v>
      </c>
      <c r="O32" s="61"/>
      <c r="P32" s="62" t="s">
        <v>23</v>
      </c>
      <c r="Q32" s="54">
        <f>2800*4</f>
        <v>11200</v>
      </c>
      <c r="R32" s="55">
        <f>2800*4</f>
        <v>11200</v>
      </c>
      <c r="S32" s="56">
        <f>2800*4</f>
        <v>11200</v>
      </c>
      <c r="T32" s="12"/>
      <c r="U32" s="78" t="s">
        <v>58</v>
      </c>
      <c r="V32" s="78"/>
      <c r="W32" s="78"/>
      <c r="X32" s="78"/>
    </row>
    <row r="33" spans="1:24" x14ac:dyDescent="0.3">
      <c r="A33" s="24"/>
      <c r="B33" s="25"/>
      <c r="C33" s="26"/>
      <c r="D33" s="27"/>
      <c r="E33" s="12"/>
      <c r="F33" s="57" t="s">
        <v>24</v>
      </c>
      <c r="G33" s="58">
        <f>G32*-0.22</f>
        <v>-2464</v>
      </c>
      <c r="H33" s="59">
        <f t="shared" ref="H33:I33" si="23">H32*-0.22</f>
        <v>-2464</v>
      </c>
      <c r="I33" s="60">
        <f t="shared" si="23"/>
        <v>-2464</v>
      </c>
      <c r="J33" s="61"/>
      <c r="K33" s="57" t="s">
        <v>24</v>
      </c>
      <c r="L33" s="58">
        <f>L32*-0.22</f>
        <v>-2464</v>
      </c>
      <c r="M33" s="59">
        <f t="shared" ref="M33:N33" si="24">M32*-0.22</f>
        <v>-2464</v>
      </c>
      <c r="N33" s="60">
        <f t="shared" si="24"/>
        <v>-2464</v>
      </c>
      <c r="O33" s="61"/>
      <c r="P33" s="57" t="s">
        <v>24</v>
      </c>
      <c r="Q33" s="58">
        <f>Q32*-0.22</f>
        <v>-2464</v>
      </c>
      <c r="R33" s="59">
        <f t="shared" ref="R33:S33" si="25">R32*-0.22</f>
        <v>-2464</v>
      </c>
      <c r="S33" s="60">
        <f t="shared" si="25"/>
        <v>-2464</v>
      </c>
      <c r="T33" s="12"/>
      <c r="U33" s="62" t="s">
        <v>23</v>
      </c>
      <c r="V33" s="54">
        <f>2800*4</f>
        <v>11200</v>
      </c>
      <c r="W33" s="55">
        <f>2800*4</f>
        <v>11200</v>
      </c>
      <c r="X33" s="56">
        <f>2800*4</f>
        <v>11200</v>
      </c>
    </row>
    <row r="34" spans="1:24" x14ac:dyDescent="0.3">
      <c r="A34" s="78" t="s">
        <v>57</v>
      </c>
      <c r="B34" s="78"/>
      <c r="C34" s="78"/>
      <c r="D34" s="78"/>
      <c r="E34" s="12"/>
      <c r="F34" s="62"/>
      <c r="G34" s="63">
        <f>G32+G33</f>
        <v>8736</v>
      </c>
      <c r="H34" s="64">
        <f t="shared" ref="H34" si="26">H32+H33</f>
        <v>8736</v>
      </c>
      <c r="I34" s="65">
        <f>I32+I33</f>
        <v>8736</v>
      </c>
      <c r="J34" s="61"/>
      <c r="K34" s="62"/>
      <c r="L34" s="63">
        <f>L32+L33</f>
        <v>8736</v>
      </c>
      <c r="M34" s="64">
        <f t="shared" ref="M34:N34" si="27">M32+M33</f>
        <v>8736</v>
      </c>
      <c r="N34" s="65">
        <f t="shared" si="27"/>
        <v>8736</v>
      </c>
      <c r="O34" s="61"/>
      <c r="P34" s="62"/>
      <c r="Q34" s="63">
        <f>Q32+Q33</f>
        <v>8736</v>
      </c>
      <c r="R34" s="64">
        <f t="shared" ref="R34:S34" si="28">R32+R33</f>
        <v>8736</v>
      </c>
      <c r="S34" s="65">
        <f t="shared" si="28"/>
        <v>8736</v>
      </c>
      <c r="T34" s="12"/>
      <c r="U34" s="57" t="s">
        <v>24</v>
      </c>
      <c r="V34" s="58">
        <f>V33*-0.22</f>
        <v>-2464</v>
      </c>
      <c r="W34" s="59">
        <f t="shared" ref="W34:X34" si="29">W33*-0.22</f>
        <v>-2464</v>
      </c>
      <c r="X34" s="60">
        <f t="shared" si="29"/>
        <v>-2464</v>
      </c>
    </row>
    <row r="35" spans="1:24" x14ac:dyDescent="0.3">
      <c r="A35" s="40" t="s">
        <v>25</v>
      </c>
      <c r="B35" s="36">
        <f>B27</f>
        <v>1259.6500000000001</v>
      </c>
      <c r="C35" s="37">
        <f>C27</f>
        <v>3373.65</v>
      </c>
      <c r="D35" s="38">
        <f>D27</f>
        <v>4671.1499999999996</v>
      </c>
      <c r="E35" s="61"/>
      <c r="F35" s="62"/>
      <c r="G35" s="63"/>
      <c r="H35" s="64"/>
      <c r="I35" s="65"/>
      <c r="J35" s="61"/>
      <c r="K35" s="62"/>
      <c r="L35" s="63"/>
      <c r="M35" s="64"/>
      <c r="N35" s="65"/>
      <c r="O35" s="61"/>
      <c r="P35" s="62"/>
      <c r="Q35" s="63"/>
      <c r="R35" s="64"/>
      <c r="S35" s="65"/>
      <c r="T35" s="12"/>
      <c r="U35" s="62"/>
      <c r="V35" s="63">
        <f>V33+V34</f>
        <v>8736</v>
      </c>
      <c r="W35" s="64">
        <f t="shared" ref="W35:X35" si="30">W33+W34</f>
        <v>8736</v>
      </c>
      <c r="X35" s="65">
        <f t="shared" si="30"/>
        <v>8736</v>
      </c>
    </row>
    <row r="36" spans="1:24" ht="15" thickBot="1" x14ac:dyDescent="0.35">
      <c r="A36" s="66" t="s">
        <v>26</v>
      </c>
      <c r="B36" s="67">
        <f>B32</f>
        <v>8736</v>
      </c>
      <c r="C36" s="68">
        <f>C32</f>
        <v>8736</v>
      </c>
      <c r="D36" s="69">
        <f>D32</f>
        <v>8736</v>
      </c>
      <c r="E36" s="39"/>
      <c r="F36" s="78" t="s">
        <v>57</v>
      </c>
      <c r="G36" s="78"/>
      <c r="H36" s="78"/>
      <c r="I36" s="78"/>
      <c r="J36" s="12"/>
      <c r="K36" s="78" t="s">
        <v>57</v>
      </c>
      <c r="L36" s="78"/>
      <c r="M36" s="78"/>
      <c r="N36" s="78"/>
      <c r="O36" s="12"/>
      <c r="P36" s="78" t="s">
        <v>57</v>
      </c>
      <c r="Q36" s="78"/>
      <c r="R36" s="78"/>
      <c r="S36" s="78"/>
      <c r="T36" s="12"/>
      <c r="U36" s="62"/>
      <c r="V36" s="63"/>
      <c r="W36" s="64"/>
      <c r="X36" s="65"/>
    </row>
    <row r="37" spans="1:24" ht="15" thickTop="1" x14ac:dyDescent="0.3">
      <c r="A37" s="50" t="s">
        <v>27</v>
      </c>
      <c r="B37" s="51">
        <f>B35+B36</f>
        <v>9995.65</v>
      </c>
      <c r="C37" s="52">
        <f t="shared" ref="C37:D37" si="31">C35+C36</f>
        <v>12109.65</v>
      </c>
      <c r="D37" s="53">
        <f t="shared" si="31"/>
        <v>13407.15</v>
      </c>
      <c r="E37" s="12"/>
      <c r="F37" s="40" t="s">
        <v>25</v>
      </c>
      <c r="G37" s="36">
        <f>G29</f>
        <v>-11831.600000000002</v>
      </c>
      <c r="H37" s="37">
        <f>H29</f>
        <v>646.18959999999947</v>
      </c>
      <c r="I37" s="38">
        <f>I29</f>
        <v>16701.952600000004</v>
      </c>
      <c r="J37" s="12"/>
      <c r="K37" s="40" t="s">
        <v>25</v>
      </c>
      <c r="L37" s="36">
        <f>L29</f>
        <v>-14303.600000000002</v>
      </c>
      <c r="M37" s="37">
        <f>M29</f>
        <v>-1503.2000000000007</v>
      </c>
      <c r="N37" s="38">
        <f>N29</f>
        <v>14904.808600000002</v>
      </c>
      <c r="O37" s="12"/>
      <c r="P37" s="40" t="s">
        <v>25</v>
      </c>
      <c r="Q37" s="36">
        <f>Q29</f>
        <v>-12894.2</v>
      </c>
      <c r="R37" s="37">
        <f>R29</f>
        <v>-918.20000000000073</v>
      </c>
      <c r="S37" s="38">
        <f>S29</f>
        <v>15140.356600000003</v>
      </c>
      <c r="T37" s="12"/>
      <c r="U37" s="78" t="s">
        <v>57</v>
      </c>
      <c r="V37" s="78"/>
      <c r="W37" s="78"/>
      <c r="X37" s="78"/>
    </row>
    <row r="38" spans="1:24" ht="15" thickBot="1" x14ac:dyDescent="0.35">
      <c r="A38" s="24"/>
      <c r="B38" s="25"/>
      <c r="C38" s="26"/>
      <c r="D38" s="27"/>
      <c r="E38" s="12"/>
      <c r="F38" s="66" t="s">
        <v>26</v>
      </c>
      <c r="G38" s="67">
        <f>G34</f>
        <v>8736</v>
      </c>
      <c r="H38" s="68">
        <f>H34</f>
        <v>8736</v>
      </c>
      <c r="I38" s="69">
        <f>I34</f>
        <v>8736</v>
      </c>
      <c r="J38" s="61"/>
      <c r="K38" s="66" t="s">
        <v>26</v>
      </c>
      <c r="L38" s="67">
        <f>L34</f>
        <v>8736</v>
      </c>
      <c r="M38" s="68">
        <f>M34</f>
        <v>8736</v>
      </c>
      <c r="N38" s="69">
        <f>N34</f>
        <v>8736</v>
      </c>
      <c r="O38" s="61"/>
      <c r="P38" s="66" t="s">
        <v>26</v>
      </c>
      <c r="Q38" s="67">
        <f>Q34</f>
        <v>8736</v>
      </c>
      <c r="R38" s="68">
        <f>R34</f>
        <v>8736</v>
      </c>
      <c r="S38" s="69">
        <f>S34</f>
        <v>8736</v>
      </c>
      <c r="T38" s="12"/>
      <c r="U38" s="40" t="s">
        <v>25</v>
      </c>
      <c r="V38" s="36">
        <f>V30</f>
        <v>-19831.599999999999</v>
      </c>
      <c r="W38" s="37">
        <f>W30</f>
        <v>-7698.1999999999971</v>
      </c>
      <c r="X38" s="38">
        <f>X30</f>
        <v>9431.9526000000023</v>
      </c>
    </row>
    <row r="39" spans="1:24" ht="15.6" thickTop="1" thickBot="1" x14ac:dyDescent="0.35">
      <c r="A39" s="12"/>
      <c r="B39" s="12"/>
      <c r="C39" s="12"/>
      <c r="D39" s="12"/>
      <c r="E39" s="12"/>
      <c r="F39" s="50" t="s">
        <v>27</v>
      </c>
      <c r="G39" s="70">
        <f>G37+G38</f>
        <v>-3095.6000000000022</v>
      </c>
      <c r="H39" s="52">
        <f t="shared" ref="H39:I39" si="32">H37+H38</f>
        <v>9382.1895999999997</v>
      </c>
      <c r="I39" s="53">
        <f t="shared" si="32"/>
        <v>25437.952600000004</v>
      </c>
      <c r="J39" s="39"/>
      <c r="K39" s="50" t="s">
        <v>27</v>
      </c>
      <c r="L39" s="70">
        <f>L37+L38</f>
        <v>-5567.6000000000022</v>
      </c>
      <c r="M39" s="52">
        <f t="shared" ref="M39:N39" si="33">M37+M38</f>
        <v>7232.7999999999993</v>
      </c>
      <c r="N39" s="53">
        <f t="shared" si="33"/>
        <v>23640.808600000004</v>
      </c>
      <c r="O39" s="39"/>
      <c r="P39" s="50" t="s">
        <v>27</v>
      </c>
      <c r="Q39" s="70">
        <f>Q37+Q38</f>
        <v>-4158.2000000000007</v>
      </c>
      <c r="R39" s="52">
        <f t="shared" ref="R39:S39" si="34">R37+R38</f>
        <v>7817.7999999999993</v>
      </c>
      <c r="S39" s="53">
        <f t="shared" si="34"/>
        <v>23876.356600000003</v>
      </c>
      <c r="T39" s="12"/>
      <c r="U39" s="66" t="s">
        <v>26</v>
      </c>
      <c r="V39" s="67">
        <f>V35</f>
        <v>8736</v>
      </c>
      <c r="W39" s="68">
        <f>W35</f>
        <v>8736</v>
      </c>
      <c r="X39" s="69">
        <f>X35</f>
        <v>8736</v>
      </c>
    </row>
    <row r="40" spans="1:24" ht="15" thickTop="1" x14ac:dyDescent="0.3">
      <c r="A40" s="12"/>
      <c r="B40" s="12"/>
      <c r="C40" s="12"/>
      <c r="D40" s="12"/>
      <c r="E40" s="12"/>
      <c r="F40" s="24"/>
      <c r="G40" s="25"/>
      <c r="H40" s="26"/>
      <c r="I40" s="27"/>
      <c r="J40" s="12"/>
      <c r="K40" s="24"/>
      <c r="L40" s="25"/>
      <c r="M40" s="26"/>
      <c r="N40" s="27"/>
      <c r="O40" s="12"/>
      <c r="P40" s="24"/>
      <c r="Q40" s="25"/>
      <c r="R40" s="26"/>
      <c r="S40" s="27"/>
      <c r="U40" s="50" t="s">
        <v>27</v>
      </c>
      <c r="V40" s="70">
        <f>V38+V39</f>
        <v>-11095.599999999999</v>
      </c>
      <c r="W40" s="52">
        <f t="shared" ref="W40:X40" si="35">W38+W39</f>
        <v>1037.8000000000029</v>
      </c>
      <c r="X40" s="53">
        <f t="shared" si="35"/>
        <v>18167.952600000004</v>
      </c>
    </row>
    <row r="41" spans="1:24" x14ac:dyDescent="0.3">
      <c r="A41" s="12"/>
      <c r="B41" s="12"/>
      <c r="C41" s="12"/>
      <c r="D41" s="12"/>
      <c r="E41" s="12"/>
      <c r="U41" s="24"/>
      <c r="V41" s="25"/>
      <c r="W41" s="26"/>
      <c r="X41" s="27"/>
    </row>
    <row r="42" spans="1:24" x14ac:dyDescent="0.3">
      <c r="A42" s="12"/>
      <c r="B42" s="12"/>
      <c r="C42" s="12"/>
      <c r="D42" s="12"/>
      <c r="E42" s="12"/>
    </row>
  </sheetData>
  <mergeCells count="40">
    <mergeCell ref="F36:I36"/>
    <mergeCell ref="K36:N36"/>
    <mergeCell ref="P36:S36"/>
    <mergeCell ref="U37:X37"/>
    <mergeCell ref="A29:D29"/>
    <mergeCell ref="F31:I31"/>
    <mergeCell ref="K31:N31"/>
    <mergeCell ref="P31:S31"/>
    <mergeCell ref="U32:X32"/>
    <mergeCell ref="A34:D34"/>
    <mergeCell ref="U21:X21"/>
    <mergeCell ref="A24:D24"/>
    <mergeCell ref="F26:I26"/>
    <mergeCell ref="K26:N26"/>
    <mergeCell ref="P26:S26"/>
    <mergeCell ref="U27:X27"/>
    <mergeCell ref="F15:I15"/>
    <mergeCell ref="K15:N15"/>
    <mergeCell ref="P15:S15"/>
    <mergeCell ref="U16:X16"/>
    <mergeCell ref="A18:D18"/>
    <mergeCell ref="F20:I20"/>
    <mergeCell ref="K20:N20"/>
    <mergeCell ref="P20:S20"/>
    <mergeCell ref="A8:D8"/>
    <mergeCell ref="F8:I8"/>
    <mergeCell ref="K8:N8"/>
    <mergeCell ref="P8:S8"/>
    <mergeCell ref="U8:X8"/>
    <mergeCell ref="A13:D13"/>
    <mergeCell ref="A1:D1"/>
    <mergeCell ref="F1:I1"/>
    <mergeCell ref="K1:N1"/>
    <mergeCell ref="P1:S1"/>
    <mergeCell ref="U1:X1"/>
    <mergeCell ref="A3:D3"/>
    <mergeCell ref="F3:I3"/>
    <mergeCell ref="K3:N3"/>
    <mergeCell ref="P3:S3"/>
    <mergeCell ref="U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30BD-0978-4920-AC8A-F14D97E23E32}">
  <dimension ref="A1:X47"/>
  <sheetViews>
    <sheetView zoomScale="120" zoomScaleNormal="120" workbookViewId="0">
      <selection activeCell="H9" sqref="H9"/>
    </sheetView>
  </sheetViews>
  <sheetFormatPr defaultRowHeight="14.4" x14ac:dyDescent="0.3"/>
  <cols>
    <col min="1" max="1" width="15.77734375" bestFit="1" customWidth="1"/>
    <col min="2" max="2" width="13.77734375" bestFit="1" customWidth="1"/>
    <col min="3" max="3" width="15.109375" bestFit="1" customWidth="1"/>
    <col min="4" max="4" width="12.109375" bestFit="1" customWidth="1"/>
    <col min="5" max="5" width="8.88671875" customWidth="1"/>
    <col min="6" max="6" width="15.21875" bestFit="1" customWidth="1"/>
    <col min="7" max="7" width="13.77734375" bestFit="1" customWidth="1"/>
    <col min="8" max="8" width="15.109375" bestFit="1" customWidth="1"/>
    <col min="9" max="9" width="12.109375" bestFit="1" customWidth="1"/>
    <col min="11" max="11" width="15.21875" bestFit="1" customWidth="1"/>
    <col min="12" max="12" width="13.77734375" bestFit="1" customWidth="1"/>
    <col min="13" max="13" width="15.109375" bestFit="1" customWidth="1"/>
    <col min="14" max="14" width="12.109375" bestFit="1" customWidth="1"/>
    <col min="16" max="16" width="15.21875" bestFit="1" customWidth="1"/>
    <col min="17" max="17" width="13.77734375" bestFit="1" customWidth="1"/>
    <col min="18" max="18" width="15.109375" bestFit="1" customWidth="1"/>
    <col min="19" max="19" width="12.109375" bestFit="1" customWidth="1"/>
    <col min="21" max="21" width="15.21875" bestFit="1" customWidth="1"/>
    <col min="22" max="22" width="13.77734375" bestFit="1" customWidth="1"/>
    <col min="23" max="23" width="15.109375" bestFit="1" customWidth="1"/>
    <col min="24" max="24" width="12.33203125" bestFit="1" customWidth="1"/>
  </cols>
  <sheetData>
    <row r="1" spans="1:24" x14ac:dyDescent="0.3">
      <c r="A1" s="77" t="s">
        <v>17</v>
      </c>
      <c r="B1" s="77"/>
      <c r="C1" s="77"/>
      <c r="D1" s="77"/>
      <c r="E1" s="12"/>
      <c r="F1" s="77" t="s">
        <v>20</v>
      </c>
      <c r="G1" s="77"/>
      <c r="H1" s="77"/>
      <c r="I1" s="77"/>
      <c r="J1" s="12"/>
      <c r="K1" s="77" t="s">
        <v>19</v>
      </c>
      <c r="L1" s="77"/>
      <c r="M1" s="77"/>
      <c r="N1" s="77"/>
      <c r="O1" s="12"/>
      <c r="P1" s="77" t="s">
        <v>21</v>
      </c>
      <c r="Q1" s="77"/>
      <c r="R1" s="77"/>
      <c r="S1" s="77"/>
      <c r="T1" s="12"/>
      <c r="U1" s="77" t="s">
        <v>22</v>
      </c>
      <c r="V1" s="77"/>
      <c r="W1" s="77"/>
      <c r="X1" s="77"/>
    </row>
    <row r="2" spans="1:24" x14ac:dyDescent="0.3">
      <c r="A2" s="13"/>
      <c r="B2" s="14" t="s">
        <v>3</v>
      </c>
      <c r="C2" s="15" t="s">
        <v>5</v>
      </c>
      <c r="D2" s="16" t="s">
        <v>4</v>
      </c>
      <c r="E2" s="12"/>
      <c r="F2" s="13"/>
      <c r="G2" s="14" t="s">
        <v>3</v>
      </c>
      <c r="H2" s="15" t="s">
        <v>5</v>
      </c>
      <c r="I2" s="16" t="s">
        <v>4</v>
      </c>
      <c r="J2" s="12"/>
      <c r="K2" s="13"/>
      <c r="L2" s="14" t="s">
        <v>3</v>
      </c>
      <c r="M2" s="15" t="s">
        <v>5</v>
      </c>
      <c r="N2" s="16" t="s">
        <v>4</v>
      </c>
      <c r="O2" s="12"/>
      <c r="P2" s="13"/>
      <c r="Q2" s="14" t="s">
        <v>3</v>
      </c>
      <c r="R2" s="15" t="s">
        <v>5</v>
      </c>
      <c r="S2" s="16" t="s">
        <v>4</v>
      </c>
      <c r="T2" s="12"/>
      <c r="U2" s="13"/>
      <c r="V2" s="14" t="s">
        <v>3</v>
      </c>
      <c r="W2" s="15" t="s">
        <v>5</v>
      </c>
      <c r="X2" s="16" t="s">
        <v>4</v>
      </c>
    </row>
    <row r="3" spans="1:24" x14ac:dyDescent="0.3">
      <c r="A3" s="78" t="s">
        <v>13</v>
      </c>
      <c r="B3" s="78"/>
      <c r="C3" s="78"/>
      <c r="D3" s="78"/>
      <c r="E3" s="12"/>
      <c r="F3" s="78" t="s">
        <v>13</v>
      </c>
      <c r="G3" s="78"/>
      <c r="H3" s="78"/>
      <c r="I3" s="78"/>
      <c r="J3" s="12"/>
      <c r="K3" s="78" t="s">
        <v>13</v>
      </c>
      <c r="L3" s="78"/>
      <c r="M3" s="78"/>
      <c r="N3" s="78"/>
      <c r="O3" s="12"/>
      <c r="P3" s="78" t="s">
        <v>13</v>
      </c>
      <c r="Q3" s="78"/>
      <c r="R3" s="78"/>
      <c r="S3" s="78"/>
      <c r="T3" s="12"/>
      <c r="U3" s="78" t="s">
        <v>13</v>
      </c>
      <c r="V3" s="78"/>
      <c r="W3" s="78"/>
      <c r="X3" s="78"/>
    </row>
    <row r="4" spans="1:24" x14ac:dyDescent="0.3">
      <c r="A4" s="40" t="s">
        <v>8</v>
      </c>
      <c r="B4" s="17">
        <v>2.5</v>
      </c>
      <c r="C4" s="18">
        <v>5</v>
      </c>
      <c r="D4" s="19">
        <v>6.5</v>
      </c>
      <c r="E4" s="12"/>
      <c r="F4" s="40" t="s">
        <v>8</v>
      </c>
      <c r="G4" s="17">
        <v>2.5</v>
      </c>
      <c r="H4" s="18">
        <v>5</v>
      </c>
      <c r="I4" s="19">
        <v>6.5</v>
      </c>
      <c r="J4" s="12"/>
      <c r="K4" s="40" t="s">
        <v>8</v>
      </c>
      <c r="L4" s="17">
        <v>2.5</v>
      </c>
      <c r="M4" s="18">
        <v>5</v>
      </c>
      <c r="N4" s="19">
        <v>6.5</v>
      </c>
      <c r="O4" s="12"/>
      <c r="P4" s="40" t="s">
        <v>8</v>
      </c>
      <c r="Q4" s="17">
        <v>2.5</v>
      </c>
      <c r="R4" s="18">
        <v>5</v>
      </c>
      <c r="S4" s="19">
        <v>6.5</v>
      </c>
      <c r="T4" s="12"/>
      <c r="U4" s="40" t="s">
        <v>8</v>
      </c>
      <c r="V4" s="17">
        <v>2.5</v>
      </c>
      <c r="W4" s="18">
        <v>5</v>
      </c>
      <c r="X4" s="19">
        <v>6.5</v>
      </c>
    </row>
    <row r="5" spans="1:24" x14ac:dyDescent="0.3">
      <c r="A5" s="20" t="s">
        <v>9</v>
      </c>
      <c r="B5" s="21">
        <v>750</v>
      </c>
      <c r="C5" s="22">
        <v>1500</v>
      </c>
      <c r="D5" s="23">
        <v>1950</v>
      </c>
      <c r="E5" s="12"/>
      <c r="F5" s="20" t="s">
        <v>9</v>
      </c>
      <c r="G5" s="21">
        <v>750</v>
      </c>
      <c r="H5" s="22">
        <v>1500</v>
      </c>
      <c r="I5" s="23">
        <v>1950</v>
      </c>
      <c r="J5" s="12"/>
      <c r="K5" s="20" t="s">
        <v>9</v>
      </c>
      <c r="L5" s="21">
        <v>750</v>
      </c>
      <c r="M5" s="22">
        <v>1500</v>
      </c>
      <c r="N5" s="23">
        <v>1950</v>
      </c>
      <c r="O5" s="12"/>
      <c r="P5" s="20" t="s">
        <v>9</v>
      </c>
      <c r="Q5" s="21">
        <v>750</v>
      </c>
      <c r="R5" s="22">
        <v>1500</v>
      </c>
      <c r="S5" s="23">
        <v>1950</v>
      </c>
      <c r="T5" s="12"/>
      <c r="U5" s="20" t="s">
        <v>9</v>
      </c>
      <c r="V5" s="21">
        <v>750</v>
      </c>
      <c r="W5" s="22">
        <v>1500</v>
      </c>
      <c r="X5" s="23">
        <v>1950</v>
      </c>
    </row>
    <row r="6" spans="1:24" x14ac:dyDescent="0.3">
      <c r="A6" s="24" t="s">
        <v>13</v>
      </c>
      <c r="B6" s="25">
        <f>B5*30</f>
        <v>22500</v>
      </c>
      <c r="C6" s="26">
        <f t="shared" ref="C6:D6" si="0">C5*30</f>
        <v>45000</v>
      </c>
      <c r="D6" s="27">
        <f t="shared" si="0"/>
        <v>58500</v>
      </c>
      <c r="E6" s="12"/>
      <c r="F6" s="24" t="s">
        <v>13</v>
      </c>
      <c r="G6" s="25">
        <f>G5*30</f>
        <v>22500</v>
      </c>
      <c r="H6" s="26">
        <f t="shared" ref="H6:I6" si="1">H5*30</f>
        <v>45000</v>
      </c>
      <c r="I6" s="27">
        <f t="shared" si="1"/>
        <v>58500</v>
      </c>
      <c r="J6" s="12"/>
      <c r="K6" s="24" t="s">
        <v>13</v>
      </c>
      <c r="L6" s="25">
        <f>L5*30</f>
        <v>22500</v>
      </c>
      <c r="M6" s="26">
        <f t="shared" ref="M6:N6" si="2">M5*30</f>
        <v>45000</v>
      </c>
      <c r="N6" s="27">
        <f t="shared" si="2"/>
        <v>58500</v>
      </c>
      <c r="O6" s="12"/>
      <c r="P6" s="24" t="s">
        <v>13</v>
      </c>
      <c r="Q6" s="25">
        <f>Q5*30</f>
        <v>22500</v>
      </c>
      <c r="R6" s="26">
        <f t="shared" ref="R6:S6" si="3">R5*30</f>
        <v>45000</v>
      </c>
      <c r="S6" s="27">
        <f t="shared" si="3"/>
        <v>58500</v>
      </c>
      <c r="T6" s="12"/>
      <c r="U6" s="24" t="s">
        <v>13</v>
      </c>
      <c r="V6" s="25">
        <f>V5*30</f>
        <v>22500</v>
      </c>
      <c r="W6" s="26">
        <f t="shared" ref="W6:X6" si="4">W5*30</f>
        <v>45000</v>
      </c>
      <c r="X6" s="27">
        <f t="shared" si="4"/>
        <v>58500</v>
      </c>
    </row>
    <row r="7" spans="1:24" x14ac:dyDescent="0.3">
      <c r="A7" s="24"/>
      <c r="B7" s="25"/>
      <c r="C7" s="26"/>
      <c r="D7" s="27"/>
      <c r="E7" s="12"/>
      <c r="F7" s="24"/>
      <c r="G7" s="25"/>
      <c r="H7" s="26"/>
      <c r="I7" s="27"/>
      <c r="J7" s="12"/>
      <c r="K7" s="24"/>
      <c r="L7" s="25"/>
      <c r="M7" s="26"/>
      <c r="N7" s="27"/>
      <c r="O7" s="12"/>
      <c r="P7" s="24"/>
      <c r="Q7" s="25"/>
      <c r="R7" s="26"/>
      <c r="S7" s="27"/>
      <c r="T7" s="12"/>
      <c r="U7" s="24"/>
      <c r="V7" s="25"/>
      <c r="W7" s="26"/>
      <c r="X7" s="27"/>
    </row>
    <row r="8" spans="1:24" x14ac:dyDescent="0.3">
      <c r="A8" s="78" t="s">
        <v>55</v>
      </c>
      <c r="B8" s="78"/>
      <c r="C8" s="78"/>
      <c r="D8" s="78"/>
      <c r="E8" s="12"/>
      <c r="F8" s="78" t="s">
        <v>55</v>
      </c>
      <c r="G8" s="78"/>
      <c r="H8" s="78"/>
      <c r="I8" s="78"/>
      <c r="J8" s="12"/>
      <c r="K8" s="78" t="s">
        <v>55</v>
      </c>
      <c r="L8" s="78"/>
      <c r="M8" s="78"/>
      <c r="N8" s="78"/>
      <c r="O8" s="12"/>
      <c r="P8" s="78" t="s">
        <v>55</v>
      </c>
      <c r="Q8" s="78"/>
      <c r="R8" s="78"/>
      <c r="S8" s="78"/>
      <c r="T8" s="12"/>
      <c r="U8" s="78" t="s">
        <v>55</v>
      </c>
      <c r="V8" s="78"/>
      <c r="W8" s="78"/>
      <c r="X8" s="78"/>
    </row>
    <row r="9" spans="1:24" x14ac:dyDescent="0.3">
      <c r="A9" s="40" t="s">
        <v>7</v>
      </c>
      <c r="B9" s="28">
        <f>-2*300*30</f>
        <v>-18000</v>
      </c>
      <c r="C9" s="29">
        <f>-4*300*30</f>
        <v>-36000</v>
      </c>
      <c r="D9" s="19">
        <f>-5.25*300*30</f>
        <v>-47250</v>
      </c>
      <c r="E9" s="12"/>
      <c r="F9" s="40" t="s">
        <v>14</v>
      </c>
      <c r="G9" s="30">
        <f>-15.43*7*8*30</f>
        <v>-25922.399999999998</v>
      </c>
      <c r="H9" s="31">
        <f>-17.53*7*8*30</f>
        <v>-29450.400000000001</v>
      </c>
      <c r="I9" s="32">
        <f>-8.68*7*8*30</f>
        <v>-14582.4</v>
      </c>
      <c r="J9" s="12"/>
      <c r="K9" s="40" t="s">
        <v>14</v>
      </c>
      <c r="L9" s="30">
        <f>-15.43*7*8*30</f>
        <v>-25922.399999999998</v>
      </c>
      <c r="M9" s="31">
        <f>-17.53*7*8*30</f>
        <v>-29450.400000000001</v>
      </c>
      <c r="N9" s="32">
        <f>-8.68*7*8*30</f>
        <v>-14582.4</v>
      </c>
      <c r="O9" s="12"/>
      <c r="P9" s="40" t="s">
        <v>14</v>
      </c>
      <c r="Q9" s="30">
        <f>-15.43*7*8*30</f>
        <v>-25922.399999999998</v>
      </c>
      <c r="R9" s="31">
        <f>-17.53*7*8*30</f>
        <v>-29450.400000000001</v>
      </c>
      <c r="S9" s="32">
        <f>-8.68*7*8*30</f>
        <v>-14582.4</v>
      </c>
      <c r="T9" s="12"/>
      <c r="U9" s="40" t="s">
        <v>14</v>
      </c>
      <c r="V9" s="30">
        <f>-15.43*7*8*30</f>
        <v>-25922.399999999998</v>
      </c>
      <c r="W9" s="31">
        <f>-17.53*7*8*30</f>
        <v>-29450.400000000001</v>
      </c>
      <c r="X9" s="32">
        <f>-8.68*7*8*30</f>
        <v>-14582.4</v>
      </c>
    </row>
    <row r="10" spans="1:24" x14ac:dyDescent="0.3">
      <c r="A10" s="33" t="s">
        <v>0</v>
      </c>
      <c r="B10" s="21">
        <v>-50</v>
      </c>
      <c r="C10" s="22">
        <v>-50</v>
      </c>
      <c r="D10" s="34">
        <v>-50</v>
      </c>
      <c r="E10" s="12"/>
      <c r="F10" s="40" t="s">
        <v>15</v>
      </c>
      <c r="G10" s="28">
        <f>-676*7</f>
        <v>-4732</v>
      </c>
      <c r="H10" s="29">
        <f>-676*7</f>
        <v>-4732</v>
      </c>
      <c r="I10" s="19">
        <f>-676*7</f>
        <v>-4732</v>
      </c>
      <c r="J10" s="12"/>
      <c r="K10" s="40" t="s">
        <v>16</v>
      </c>
      <c r="L10" s="28">
        <f>-1500*7</f>
        <v>-10500</v>
      </c>
      <c r="M10" s="29">
        <f>-1500*7</f>
        <v>-10500</v>
      </c>
      <c r="N10" s="19">
        <f>-1500*7</f>
        <v>-10500</v>
      </c>
      <c r="O10" s="12"/>
      <c r="P10" s="40" t="s">
        <v>18</v>
      </c>
      <c r="Q10" s="28">
        <f>-31.25*7*30</f>
        <v>-6562.5</v>
      </c>
      <c r="R10" s="29">
        <f>-31.25*7*30</f>
        <v>-6562.5</v>
      </c>
      <c r="S10" s="19">
        <f>-31.25*7*30</f>
        <v>-6562.5</v>
      </c>
      <c r="T10" s="12"/>
      <c r="U10" s="40" t="s">
        <v>6</v>
      </c>
      <c r="V10" s="28">
        <v>-8000</v>
      </c>
      <c r="W10" s="29">
        <v>-8667</v>
      </c>
      <c r="X10" s="19">
        <v>-10000</v>
      </c>
    </row>
    <row r="11" spans="1:24" x14ac:dyDescent="0.3">
      <c r="A11" s="40" t="s">
        <v>1</v>
      </c>
      <c r="B11" s="28">
        <f>B10+B9</f>
        <v>-18050</v>
      </c>
      <c r="C11" s="29">
        <f t="shared" ref="C11:D11" si="5">C10+C9</f>
        <v>-36050</v>
      </c>
      <c r="D11" s="19">
        <f t="shared" si="5"/>
        <v>-47300</v>
      </c>
      <c r="E11" s="12"/>
      <c r="F11" s="40" t="s">
        <v>2</v>
      </c>
      <c r="G11" s="28">
        <f>-14.08*7*30</f>
        <v>-2956.8</v>
      </c>
      <c r="H11" s="29">
        <f>-9.5*7*30</f>
        <v>-1995</v>
      </c>
      <c r="I11" s="19">
        <f>-8.05*7*30</f>
        <v>-1690.5000000000002</v>
      </c>
      <c r="J11" s="12"/>
      <c r="K11" s="40" t="s">
        <v>2</v>
      </c>
      <c r="L11" s="28">
        <f>-14.08*7*30</f>
        <v>-2956.8</v>
      </c>
      <c r="M11" s="29">
        <f>-9.5*7*30</f>
        <v>-1995</v>
      </c>
      <c r="N11" s="19">
        <f>-8.05*7*30</f>
        <v>-1690.5000000000002</v>
      </c>
      <c r="O11" s="12"/>
      <c r="P11" s="33" t="s">
        <v>0</v>
      </c>
      <c r="Q11" s="21">
        <v>-50</v>
      </c>
      <c r="R11" s="22">
        <v>-50</v>
      </c>
      <c r="S11" s="34">
        <v>-50</v>
      </c>
      <c r="T11" s="12"/>
      <c r="U11" s="40" t="s">
        <v>15</v>
      </c>
      <c r="V11" s="28">
        <f>-676*7</f>
        <v>-4732</v>
      </c>
      <c r="W11" s="29">
        <f>-676*7</f>
        <v>-4732</v>
      </c>
      <c r="X11" s="19">
        <f>-676*7</f>
        <v>-4732</v>
      </c>
    </row>
    <row r="12" spans="1:24" x14ac:dyDescent="0.3">
      <c r="A12" s="24"/>
      <c r="B12" s="25"/>
      <c r="C12" s="26"/>
      <c r="D12" s="27"/>
      <c r="E12" s="12"/>
      <c r="F12" s="33" t="s">
        <v>0</v>
      </c>
      <c r="G12" s="21">
        <v>-50</v>
      </c>
      <c r="H12" s="22">
        <v>-50</v>
      </c>
      <c r="I12" s="34">
        <v>-50</v>
      </c>
      <c r="J12" s="12"/>
      <c r="K12" s="33" t="s">
        <v>0</v>
      </c>
      <c r="L12" s="21">
        <v>-50</v>
      </c>
      <c r="M12" s="22">
        <v>-50</v>
      </c>
      <c r="N12" s="34">
        <v>-50</v>
      </c>
      <c r="O12" s="12"/>
      <c r="P12" s="40" t="s">
        <v>1</v>
      </c>
      <c r="Q12" s="28">
        <f>SUM(Q9:Q11)</f>
        <v>-32534.899999999998</v>
      </c>
      <c r="R12" s="29">
        <f>SUM(R9:R11)</f>
        <v>-36062.9</v>
      </c>
      <c r="S12" s="19">
        <f>SUM(S9:S11)</f>
        <v>-21194.9</v>
      </c>
      <c r="T12" s="12"/>
      <c r="U12" s="40" t="s">
        <v>2</v>
      </c>
      <c r="V12" s="28">
        <f>-14.08*7*30</f>
        <v>-2956.8</v>
      </c>
      <c r="W12" s="29">
        <f>-9.5*7*30</f>
        <v>-1995</v>
      </c>
      <c r="X12" s="19">
        <f>-8.05*7*30</f>
        <v>-1690.5000000000002</v>
      </c>
    </row>
    <row r="13" spans="1:24" x14ac:dyDescent="0.3">
      <c r="A13" s="78" t="s">
        <v>56</v>
      </c>
      <c r="B13" s="78"/>
      <c r="C13" s="78"/>
      <c r="D13" s="78"/>
      <c r="E13" s="12"/>
      <c r="F13" s="40" t="s">
        <v>1</v>
      </c>
      <c r="G13" s="28">
        <f>SUM(G9:G12)</f>
        <v>-33661.199999999997</v>
      </c>
      <c r="H13" s="29">
        <f>SUM(H9:H12)</f>
        <v>-36227.4</v>
      </c>
      <c r="I13" s="19">
        <f>SUM(I9:I12)</f>
        <v>-21054.9</v>
      </c>
      <c r="J13" s="12"/>
      <c r="K13" s="40" t="s">
        <v>1</v>
      </c>
      <c r="L13" s="28">
        <f>SUM(L9:L12)</f>
        <v>-39429.199999999997</v>
      </c>
      <c r="M13" s="29">
        <f t="shared" ref="M13:N13" si="6">SUM(M9:M12)</f>
        <v>-41995.4</v>
      </c>
      <c r="N13" s="19">
        <f t="shared" si="6"/>
        <v>-26822.9</v>
      </c>
      <c r="O13" s="12"/>
      <c r="P13" s="40"/>
      <c r="Q13" s="28"/>
      <c r="R13" s="29"/>
      <c r="S13" s="35"/>
      <c r="T13" s="12"/>
      <c r="U13" s="33" t="s">
        <v>0</v>
      </c>
      <c r="V13" s="21">
        <v>-50</v>
      </c>
      <c r="W13" s="22">
        <v>-50</v>
      </c>
      <c r="X13" s="34">
        <v>-50</v>
      </c>
    </row>
    <row r="14" spans="1:24" x14ac:dyDescent="0.3">
      <c r="A14" s="24" t="s">
        <v>13</v>
      </c>
      <c r="B14" s="25">
        <v>22500</v>
      </c>
      <c r="C14" s="26">
        <v>45000</v>
      </c>
      <c r="D14" s="27">
        <v>58500</v>
      </c>
      <c r="E14" s="12"/>
      <c r="F14" s="40"/>
      <c r="G14" s="28"/>
      <c r="H14" s="29"/>
      <c r="I14" s="35"/>
      <c r="J14" s="12"/>
      <c r="K14" s="40"/>
      <c r="L14" s="28"/>
      <c r="M14" s="29"/>
      <c r="N14" s="35"/>
      <c r="O14" s="12"/>
      <c r="P14" s="78" t="s">
        <v>56</v>
      </c>
      <c r="Q14" s="78"/>
      <c r="R14" s="78"/>
      <c r="S14" s="78"/>
      <c r="T14" s="12"/>
      <c r="U14" s="40" t="s">
        <v>1</v>
      </c>
      <c r="V14" s="28">
        <f>SUM(V9:V13)</f>
        <v>-41661.199999999997</v>
      </c>
      <c r="W14" s="29">
        <f>SUM(W9:W13)</f>
        <v>-44894.400000000001</v>
      </c>
      <c r="X14" s="19">
        <f>SUM(X9:X13)</f>
        <v>-31054.9</v>
      </c>
    </row>
    <row r="15" spans="1:24" x14ac:dyDescent="0.3">
      <c r="A15" s="33" t="s">
        <v>1</v>
      </c>
      <c r="B15" s="21">
        <v>-18050</v>
      </c>
      <c r="C15" s="22">
        <v>-36050</v>
      </c>
      <c r="D15" s="34">
        <v>-47300</v>
      </c>
      <c r="E15" s="12"/>
      <c r="F15" s="78" t="s">
        <v>56</v>
      </c>
      <c r="G15" s="78"/>
      <c r="H15" s="78"/>
      <c r="I15" s="78"/>
      <c r="J15" s="12"/>
      <c r="K15" s="78" t="s">
        <v>56</v>
      </c>
      <c r="L15" s="78"/>
      <c r="M15" s="78"/>
      <c r="N15" s="78"/>
      <c r="O15" s="12"/>
      <c r="P15" s="24" t="s">
        <v>13</v>
      </c>
      <c r="Q15" s="25">
        <v>22500</v>
      </c>
      <c r="R15" s="26">
        <v>45000</v>
      </c>
      <c r="S15" s="27">
        <v>58500</v>
      </c>
      <c r="T15" s="12"/>
      <c r="U15" s="40"/>
      <c r="V15" s="28"/>
      <c r="W15" s="29"/>
      <c r="X15" s="19"/>
    </row>
    <row r="16" spans="1:24" x14ac:dyDescent="0.3">
      <c r="A16" s="24" t="s">
        <v>11</v>
      </c>
      <c r="B16" s="36">
        <f>B6+B9+B10</f>
        <v>4450</v>
      </c>
      <c r="C16" s="37">
        <f>C6+C9+C10</f>
        <v>8950</v>
      </c>
      <c r="D16" s="38">
        <f>D6+D9+D10</f>
        <v>11200</v>
      </c>
      <c r="E16" s="39"/>
      <c r="F16" s="24" t="s">
        <v>13</v>
      </c>
      <c r="G16" s="25">
        <v>22500</v>
      </c>
      <c r="H16" s="26">
        <v>45000</v>
      </c>
      <c r="I16" s="27">
        <v>58500</v>
      </c>
      <c r="J16" s="12"/>
      <c r="K16" s="24" t="s">
        <v>13</v>
      </c>
      <c r="L16" s="25">
        <v>22500</v>
      </c>
      <c r="M16" s="26">
        <v>45000</v>
      </c>
      <c r="N16" s="27">
        <v>58500</v>
      </c>
      <c r="O16" s="12"/>
      <c r="P16" s="33" t="s">
        <v>1</v>
      </c>
      <c r="Q16" s="21">
        <f>Q12</f>
        <v>-32534.899999999998</v>
      </c>
      <c r="R16" s="22">
        <f>R12</f>
        <v>-36062.9</v>
      </c>
      <c r="S16" s="23">
        <f>S12</f>
        <v>-21194.9</v>
      </c>
      <c r="T16" s="12"/>
      <c r="U16" s="78" t="s">
        <v>56</v>
      </c>
      <c r="V16" s="78"/>
      <c r="W16" s="78"/>
      <c r="X16" s="78"/>
    </row>
    <row r="17" spans="1:24" x14ac:dyDescent="0.3">
      <c r="A17" s="24"/>
      <c r="B17" s="25"/>
      <c r="C17" s="26"/>
      <c r="D17" s="27"/>
      <c r="E17" s="39"/>
      <c r="F17" s="33" t="s">
        <v>1</v>
      </c>
      <c r="G17" s="21">
        <f>G13</f>
        <v>-33661.199999999997</v>
      </c>
      <c r="H17" s="22">
        <f t="shared" ref="H17:I17" si="7">H13</f>
        <v>-36227.4</v>
      </c>
      <c r="I17" s="23">
        <f t="shared" si="7"/>
        <v>-21054.9</v>
      </c>
      <c r="J17" s="12"/>
      <c r="K17" s="33" t="s">
        <v>1</v>
      </c>
      <c r="L17" s="21">
        <f>L13</f>
        <v>-39429.199999999997</v>
      </c>
      <c r="M17" s="22">
        <f t="shared" ref="M17:N17" si="8">M13</f>
        <v>-41995.4</v>
      </c>
      <c r="N17" s="23">
        <f t="shared" si="8"/>
        <v>-26822.9</v>
      </c>
      <c r="O17" s="12"/>
      <c r="P17" s="24" t="s">
        <v>11</v>
      </c>
      <c r="Q17" s="1">
        <f>Q15+Q16</f>
        <v>-10034.899999999998</v>
      </c>
      <c r="R17" s="37">
        <f t="shared" ref="R17:S17" si="9">R15+R16</f>
        <v>8937.0999999999985</v>
      </c>
      <c r="S17" s="38">
        <f t="shared" si="9"/>
        <v>37305.1</v>
      </c>
      <c r="T17" s="12"/>
      <c r="U17" s="24" t="s">
        <v>13</v>
      </c>
      <c r="V17" s="25">
        <v>22500</v>
      </c>
      <c r="W17" s="26">
        <v>45000</v>
      </c>
      <c r="X17" s="27">
        <v>58500</v>
      </c>
    </row>
    <row r="18" spans="1:24" x14ac:dyDescent="0.3">
      <c r="A18" s="78" t="s">
        <v>10</v>
      </c>
      <c r="B18" s="78"/>
      <c r="C18" s="78"/>
      <c r="D18" s="78"/>
      <c r="E18" s="39"/>
      <c r="F18" s="24" t="s">
        <v>11</v>
      </c>
      <c r="G18" s="1">
        <f>G16+G17</f>
        <v>-11161.199999999997</v>
      </c>
      <c r="H18" s="37">
        <f>H16+H17</f>
        <v>8772.5999999999985</v>
      </c>
      <c r="I18" s="38">
        <f>I16+I17</f>
        <v>37445.1</v>
      </c>
      <c r="J18" s="12"/>
      <c r="K18" s="24" t="s">
        <v>11</v>
      </c>
      <c r="L18" s="1">
        <f>L16+L17</f>
        <v>-16929.199999999997</v>
      </c>
      <c r="M18" s="37">
        <f t="shared" ref="M18:N18" si="10">M16+M17</f>
        <v>3004.5999999999985</v>
      </c>
      <c r="N18" s="38">
        <f t="shared" si="10"/>
        <v>31677.1</v>
      </c>
      <c r="O18" s="12"/>
      <c r="P18" s="13"/>
      <c r="Q18" s="36"/>
      <c r="R18" s="37"/>
      <c r="S18" s="38"/>
      <c r="T18" s="12"/>
      <c r="U18" s="33" t="s">
        <v>1</v>
      </c>
      <c r="V18" s="21">
        <f>V14</f>
        <v>-41661.199999999997</v>
      </c>
      <c r="W18" s="22">
        <f>W14</f>
        <v>-44894.400000000001</v>
      </c>
      <c r="X18" s="23">
        <f>X14</f>
        <v>-31054.9</v>
      </c>
    </row>
    <row r="19" spans="1:24" x14ac:dyDescent="0.3">
      <c r="A19" s="40" t="s">
        <v>53</v>
      </c>
      <c r="B19" s="36">
        <f>B16*-0.22</f>
        <v>-979</v>
      </c>
      <c r="C19" s="37">
        <f>C16*-0.22</f>
        <v>-1969</v>
      </c>
      <c r="D19" s="38">
        <f>D16*-0.22</f>
        <v>-2464</v>
      </c>
      <c r="E19" s="12"/>
      <c r="F19" s="13"/>
      <c r="G19" s="36"/>
      <c r="H19" s="37"/>
      <c r="I19" s="38"/>
      <c r="J19" s="12"/>
      <c r="K19" s="13"/>
      <c r="L19" s="36"/>
      <c r="M19" s="37"/>
      <c r="N19" s="38"/>
      <c r="O19" s="12"/>
      <c r="P19" s="78" t="s">
        <v>10</v>
      </c>
      <c r="Q19" s="78"/>
      <c r="R19" s="78"/>
      <c r="S19" s="78"/>
      <c r="T19" s="12"/>
      <c r="U19" s="24" t="s">
        <v>11</v>
      </c>
      <c r="V19" s="1">
        <f>V17+V18</f>
        <v>-19161.199999999997</v>
      </c>
      <c r="W19" s="37">
        <f t="shared" ref="W19:X19" si="11">W17+W18</f>
        <v>105.59999999999854</v>
      </c>
      <c r="X19" s="38">
        <f t="shared" si="11"/>
        <v>27445.1</v>
      </c>
    </row>
    <row r="20" spans="1:24" x14ac:dyDescent="0.3">
      <c r="A20" s="40" t="s">
        <v>52</v>
      </c>
      <c r="B20" s="36">
        <f>B16*-0.2</f>
        <v>-890</v>
      </c>
      <c r="C20" s="37">
        <f>C16*-0.06</f>
        <v>-537</v>
      </c>
      <c r="D20" s="38">
        <v>0</v>
      </c>
      <c r="E20" s="12"/>
      <c r="F20" s="78" t="s">
        <v>10</v>
      </c>
      <c r="G20" s="78"/>
      <c r="H20" s="78"/>
      <c r="I20" s="78"/>
      <c r="J20" s="12"/>
      <c r="K20" s="78" t="s">
        <v>10</v>
      </c>
      <c r="L20" s="78"/>
      <c r="M20" s="78"/>
      <c r="N20" s="78"/>
      <c r="O20" s="12"/>
      <c r="P20" s="40" t="s">
        <v>53</v>
      </c>
      <c r="Q20" s="36">
        <v>0</v>
      </c>
      <c r="R20" s="37">
        <f>R17*-0.22</f>
        <v>-1966.1619999999996</v>
      </c>
      <c r="S20" s="38">
        <f>S17*-0.22</f>
        <v>-8207.1219999999994</v>
      </c>
      <c r="T20" s="12"/>
      <c r="U20" s="13"/>
      <c r="V20" s="36"/>
      <c r="W20" s="37"/>
      <c r="X20" s="38"/>
    </row>
    <row r="21" spans="1:24" x14ac:dyDescent="0.3">
      <c r="A21" s="41" t="s">
        <v>12</v>
      </c>
      <c r="B21" s="42">
        <f>B16*-0.153</f>
        <v>-680.85</v>
      </c>
      <c r="C21" s="43">
        <f>C16*-0.153</f>
        <v>-1369.35</v>
      </c>
      <c r="D21" s="44">
        <f>D16*-0.153</f>
        <v>-1713.6</v>
      </c>
      <c r="E21" s="12"/>
      <c r="F21" s="40" t="s">
        <v>53</v>
      </c>
      <c r="G21" s="36">
        <v>0</v>
      </c>
      <c r="H21" s="37">
        <f>H18*-0.22</f>
        <v>-1929.9719999999998</v>
      </c>
      <c r="I21" s="38">
        <f>I18*-0.22</f>
        <v>-8237.9220000000005</v>
      </c>
      <c r="J21" s="12"/>
      <c r="K21" s="40" t="s">
        <v>53</v>
      </c>
      <c r="L21" s="36">
        <v>0</v>
      </c>
      <c r="M21" s="37">
        <f>M18*-0.22</f>
        <v>-661.01199999999972</v>
      </c>
      <c r="N21" s="38">
        <f>N18*-0.22</f>
        <v>-6968.9619999999995</v>
      </c>
      <c r="O21" s="12"/>
      <c r="P21" s="40" t="s">
        <v>52</v>
      </c>
      <c r="Q21" s="36">
        <v>0</v>
      </c>
      <c r="R21" s="37">
        <f>R17*-0.06</f>
        <v>-536.22599999999989</v>
      </c>
      <c r="S21" s="38">
        <v>0</v>
      </c>
      <c r="T21" s="12"/>
      <c r="U21" s="78" t="s">
        <v>10</v>
      </c>
      <c r="V21" s="78"/>
      <c r="W21" s="78"/>
      <c r="X21" s="78"/>
    </row>
    <row r="22" spans="1:24" x14ac:dyDescent="0.3">
      <c r="A22" s="82" t="s">
        <v>54</v>
      </c>
      <c r="B22" s="36">
        <f>SUM(B19:B21)</f>
        <v>-2549.85</v>
      </c>
      <c r="C22" s="37">
        <f t="shared" ref="C22:D22" si="12">SUM(C19:C21)</f>
        <v>-3875.35</v>
      </c>
      <c r="D22" s="38">
        <f t="shared" si="12"/>
        <v>-4177.6000000000004</v>
      </c>
      <c r="E22" s="12"/>
      <c r="F22" s="40" t="s">
        <v>52</v>
      </c>
      <c r="G22" s="36">
        <v>0</v>
      </c>
      <c r="H22" s="37">
        <f>H18*-0.06</f>
        <v>-526.35599999999988</v>
      </c>
      <c r="I22" s="38">
        <v>0</v>
      </c>
      <c r="J22" s="12"/>
      <c r="K22" s="40" t="s">
        <v>52</v>
      </c>
      <c r="L22" s="36">
        <v>0</v>
      </c>
      <c r="M22" s="37">
        <f>M18*-0.06</f>
        <v>-180.2759999999999</v>
      </c>
      <c r="N22" s="38">
        <v>0</v>
      </c>
      <c r="O22" s="12"/>
      <c r="P22" s="41" t="s">
        <v>12</v>
      </c>
      <c r="Q22" s="42">
        <v>0</v>
      </c>
      <c r="R22" s="43">
        <f>R17*-0.153</f>
        <v>-1367.3762999999997</v>
      </c>
      <c r="S22" s="44">
        <f>S17*-0.153</f>
        <v>-5707.6803</v>
      </c>
      <c r="T22" s="12"/>
      <c r="U22" s="40" t="s">
        <v>53</v>
      </c>
      <c r="V22" s="36">
        <v>0</v>
      </c>
      <c r="W22" s="37">
        <f>W19*-0.22</f>
        <v>-23.23199999999968</v>
      </c>
      <c r="X22" s="38">
        <f>X19*-0.22</f>
        <v>-6037.9219999999996</v>
      </c>
    </row>
    <row r="23" spans="1:24" ht="15" thickBot="1" x14ac:dyDescent="0.35">
      <c r="A23" s="82"/>
      <c r="B23" s="36"/>
      <c r="C23" s="37"/>
      <c r="D23" s="38"/>
      <c r="E23" s="12"/>
      <c r="F23" s="41" t="s">
        <v>12</v>
      </c>
      <c r="G23" s="42">
        <v>0</v>
      </c>
      <c r="H23" s="43">
        <f>H18*-0.153</f>
        <v>-1342.2077999999997</v>
      </c>
      <c r="I23" s="44">
        <f>I18*-0.153</f>
        <v>-5729.1003000000001</v>
      </c>
      <c r="J23" s="12"/>
      <c r="K23" s="41" t="s">
        <v>12</v>
      </c>
      <c r="L23" s="42">
        <v>0</v>
      </c>
      <c r="M23" s="43">
        <f>M18*-0.153</f>
        <v>-459.70379999999977</v>
      </c>
      <c r="N23" s="48">
        <f>N18*-0.153</f>
        <v>-4846.5962999999992</v>
      </c>
      <c r="O23" s="12"/>
      <c r="P23" s="82"/>
      <c r="Q23" s="36">
        <f>SUM(Q20:Q22)</f>
        <v>0</v>
      </c>
      <c r="R23" s="37">
        <f t="shared" ref="R23:S23" si="13">SUM(R20:R22)</f>
        <v>-3869.7642999999989</v>
      </c>
      <c r="S23" s="38">
        <f t="shared" si="13"/>
        <v>-13914.802299999999</v>
      </c>
      <c r="T23" s="12"/>
      <c r="U23" s="40" t="s">
        <v>52</v>
      </c>
      <c r="V23" s="36">
        <v>0</v>
      </c>
      <c r="W23" s="37">
        <f>W19*-0.06</f>
        <v>-6.3359999999999124</v>
      </c>
      <c r="X23" s="38">
        <v>0</v>
      </c>
    </row>
    <row r="24" spans="1:24" ht="15.6" thickTop="1" thickBot="1" x14ac:dyDescent="0.35">
      <c r="A24" s="78" t="s">
        <v>59</v>
      </c>
      <c r="B24" s="78"/>
      <c r="C24" s="78"/>
      <c r="D24" s="78"/>
      <c r="E24" s="12"/>
      <c r="F24" s="82"/>
      <c r="G24" s="36">
        <f>SUM(G21:G23)</f>
        <v>0</v>
      </c>
      <c r="H24" s="37">
        <f t="shared" ref="H24:I24" si="14">SUM(H21:H23)</f>
        <v>-3798.5357999999992</v>
      </c>
      <c r="I24" s="38">
        <f t="shared" si="14"/>
        <v>-13967.022300000001</v>
      </c>
      <c r="J24" s="12"/>
      <c r="K24" s="82"/>
      <c r="L24" s="36">
        <f>SUM(L21:L23)</f>
        <v>0</v>
      </c>
      <c r="M24" s="37">
        <f t="shared" ref="M24:N24" si="15">SUM(M21:M23)</f>
        <v>-1300.9917999999993</v>
      </c>
      <c r="N24" s="38">
        <f t="shared" si="15"/>
        <v>-11815.558299999999</v>
      </c>
      <c r="O24" s="12"/>
      <c r="P24" s="82"/>
      <c r="Q24" s="36"/>
      <c r="R24" s="37"/>
      <c r="S24" s="38"/>
      <c r="T24" s="12"/>
      <c r="U24" s="45" t="s">
        <v>12</v>
      </c>
      <c r="V24" s="46">
        <v>0</v>
      </c>
      <c r="W24" s="47">
        <f>W19*-0.153</f>
        <v>-16.156799999999777</v>
      </c>
      <c r="X24" s="48">
        <f>X19*-0.153</f>
        <v>-4199.1003000000001</v>
      </c>
    </row>
    <row r="25" spans="1:24" ht="15" thickTop="1" x14ac:dyDescent="0.3">
      <c r="A25" s="24" t="s">
        <v>11</v>
      </c>
      <c r="B25" s="36">
        <v>4450</v>
      </c>
      <c r="C25" s="37">
        <v>8950</v>
      </c>
      <c r="D25" s="38">
        <v>11200</v>
      </c>
      <c r="E25" s="12"/>
      <c r="F25" s="82"/>
      <c r="G25" s="36"/>
      <c r="H25" s="37"/>
      <c r="I25" s="38"/>
      <c r="J25" s="12"/>
      <c r="K25" s="82"/>
      <c r="L25" s="36"/>
      <c r="M25" s="37"/>
      <c r="N25" s="38"/>
      <c r="O25" s="12"/>
      <c r="P25" s="78" t="s">
        <v>59</v>
      </c>
      <c r="Q25" s="78"/>
      <c r="R25" s="78"/>
      <c r="S25" s="78"/>
      <c r="T25" s="12"/>
      <c r="U25" s="82"/>
      <c r="V25" s="36">
        <f>SUM(V22:V24)</f>
        <v>0</v>
      </c>
      <c r="W25" s="37">
        <f t="shared" ref="W25:X25" si="16">SUM(W22:W24)</f>
        <v>-45.72479999999937</v>
      </c>
      <c r="X25" s="38">
        <f t="shared" si="16"/>
        <v>-10237.022300000001</v>
      </c>
    </row>
    <row r="26" spans="1:24" ht="15" thickBot="1" x14ac:dyDescent="0.35">
      <c r="A26" s="49" t="s">
        <v>54</v>
      </c>
      <c r="B26" s="46">
        <v>-2549.85</v>
      </c>
      <c r="C26" s="47">
        <v>-3875.35</v>
      </c>
      <c r="D26" s="48">
        <v>-4177.6000000000004</v>
      </c>
      <c r="E26" s="12"/>
      <c r="F26" s="78" t="s">
        <v>59</v>
      </c>
      <c r="G26" s="78"/>
      <c r="H26" s="78"/>
      <c r="I26" s="78"/>
      <c r="J26" s="12"/>
      <c r="K26" s="78" t="s">
        <v>59</v>
      </c>
      <c r="L26" s="78"/>
      <c r="M26" s="78"/>
      <c r="N26" s="78"/>
      <c r="O26" s="12"/>
      <c r="P26" s="24" t="s">
        <v>11</v>
      </c>
      <c r="Q26" s="36">
        <f>Q17</f>
        <v>-10034.899999999998</v>
      </c>
      <c r="R26" s="37">
        <f>R17</f>
        <v>8937.0999999999985</v>
      </c>
      <c r="S26" s="38">
        <f>S17</f>
        <v>37305.1</v>
      </c>
      <c r="T26" s="12"/>
      <c r="U26" s="82"/>
      <c r="V26" s="36"/>
      <c r="W26" s="37"/>
      <c r="X26" s="38"/>
    </row>
    <row r="27" spans="1:24" ht="15.6" thickTop="1" thickBot="1" x14ac:dyDescent="0.35">
      <c r="A27" s="50" t="s">
        <v>27</v>
      </c>
      <c r="B27" s="51">
        <f>B25+B26</f>
        <v>1900.15</v>
      </c>
      <c r="C27" s="52">
        <f t="shared" ref="C27:D27" si="17">C25+C26</f>
        <v>5074.6499999999996</v>
      </c>
      <c r="D27" s="53">
        <f t="shared" si="17"/>
        <v>7022.4</v>
      </c>
      <c r="E27" s="12"/>
      <c r="F27" s="24" t="s">
        <v>11</v>
      </c>
      <c r="G27" s="36">
        <f>G18</f>
        <v>-11161.199999999997</v>
      </c>
      <c r="H27" s="37">
        <f>H18</f>
        <v>8772.5999999999985</v>
      </c>
      <c r="I27" s="38">
        <f>I18</f>
        <v>37445.1</v>
      </c>
      <c r="J27" s="12"/>
      <c r="K27" s="24" t="s">
        <v>11</v>
      </c>
      <c r="L27" s="36">
        <f>L18</f>
        <v>-16929.199999999997</v>
      </c>
      <c r="M27" s="37">
        <f>M18</f>
        <v>3004.5999999999985</v>
      </c>
      <c r="N27" s="38">
        <f>N18</f>
        <v>31677.1</v>
      </c>
      <c r="O27" s="12"/>
      <c r="P27" s="49" t="s">
        <v>54</v>
      </c>
      <c r="Q27" s="46">
        <f>Q23</f>
        <v>0</v>
      </c>
      <c r="R27" s="47">
        <f>R23</f>
        <v>-3869.7642999999989</v>
      </c>
      <c r="S27" s="48">
        <f>S23</f>
        <v>-13914.802299999999</v>
      </c>
      <c r="T27" s="12"/>
      <c r="U27" s="78" t="s">
        <v>59</v>
      </c>
      <c r="V27" s="78"/>
      <c r="W27" s="78"/>
      <c r="X27" s="78"/>
    </row>
    <row r="28" spans="1:24" ht="15.6" thickTop="1" thickBot="1" x14ac:dyDescent="0.35">
      <c r="A28" s="24"/>
      <c r="B28" s="25"/>
      <c r="C28" s="26"/>
      <c r="D28" s="27"/>
      <c r="E28" s="39"/>
      <c r="F28" s="49" t="s">
        <v>54</v>
      </c>
      <c r="G28" s="46">
        <v>0</v>
      </c>
      <c r="H28" s="47">
        <f>H24</f>
        <v>-3798.5357999999992</v>
      </c>
      <c r="I28" s="48">
        <f>I24</f>
        <v>-13967.022300000001</v>
      </c>
      <c r="J28" s="12"/>
      <c r="K28" s="49" t="s">
        <v>54</v>
      </c>
      <c r="L28" s="46">
        <v>0</v>
      </c>
      <c r="M28" s="47">
        <f>M24</f>
        <v>-1300.9917999999993</v>
      </c>
      <c r="N28" s="48">
        <f>N24</f>
        <v>-11815.558299999999</v>
      </c>
      <c r="O28" s="12"/>
      <c r="P28" s="50"/>
      <c r="Q28" s="70">
        <f>Q27+Q26</f>
        <v>-10034.899999999998</v>
      </c>
      <c r="R28" s="52">
        <f>R26+R27</f>
        <v>5067.3356999999996</v>
      </c>
      <c r="S28" s="53">
        <f>S26+S27</f>
        <v>23390.297699999999</v>
      </c>
      <c r="T28" s="39"/>
      <c r="U28" s="24" t="s">
        <v>11</v>
      </c>
      <c r="V28" s="36">
        <f>V19</f>
        <v>-19161.199999999997</v>
      </c>
      <c r="W28" s="37">
        <f>W19</f>
        <v>105.59999999999854</v>
      </c>
      <c r="X28" s="38">
        <f>X19</f>
        <v>27445.1</v>
      </c>
    </row>
    <row r="29" spans="1:24" ht="15.6" thickTop="1" thickBot="1" x14ac:dyDescent="0.35">
      <c r="A29" s="78" t="s">
        <v>58</v>
      </c>
      <c r="B29" s="78"/>
      <c r="C29" s="78"/>
      <c r="D29" s="78"/>
      <c r="E29" s="12"/>
      <c r="F29" s="50"/>
      <c r="G29" s="70">
        <f>G27+G28</f>
        <v>-11161.199999999997</v>
      </c>
      <c r="H29" s="52">
        <f>H27+H28</f>
        <v>4974.0641999999989</v>
      </c>
      <c r="I29" s="53">
        <f>I27+I28</f>
        <v>23478.077699999998</v>
      </c>
      <c r="J29" s="39"/>
      <c r="K29" s="50"/>
      <c r="L29" s="70">
        <f>L27+L28</f>
        <v>-16929.199999999997</v>
      </c>
      <c r="M29" s="52">
        <f>M27+M28</f>
        <v>1703.6081999999992</v>
      </c>
      <c r="N29" s="53">
        <f>N27+N28</f>
        <v>19861.541700000002</v>
      </c>
      <c r="O29" s="39"/>
      <c r="P29" s="50"/>
      <c r="Q29" s="51"/>
      <c r="R29" s="52"/>
      <c r="S29" s="53"/>
      <c r="T29" s="12"/>
      <c r="U29" s="49" t="s">
        <v>54</v>
      </c>
      <c r="V29" s="46">
        <f>V25</f>
        <v>0</v>
      </c>
      <c r="W29" s="47">
        <f>W25</f>
        <v>-45.72479999999937</v>
      </c>
      <c r="X29" s="48">
        <f>X25</f>
        <v>-10237.022300000001</v>
      </c>
    </row>
    <row r="30" spans="1:24" ht="15" thickTop="1" x14ac:dyDescent="0.3">
      <c r="A30" s="62" t="s">
        <v>23</v>
      </c>
      <c r="B30" s="54">
        <f>2800*4</f>
        <v>11200</v>
      </c>
      <c r="C30" s="55">
        <f>2800*4</f>
        <v>11200</v>
      </c>
      <c r="D30" s="56">
        <f>2800*4</f>
        <v>11200</v>
      </c>
      <c r="E30" s="61"/>
      <c r="F30" s="50"/>
      <c r="G30" s="51"/>
      <c r="H30" s="52"/>
      <c r="I30" s="53"/>
      <c r="J30" s="39"/>
      <c r="K30" s="50"/>
      <c r="L30" s="51"/>
      <c r="M30" s="52"/>
      <c r="N30" s="53"/>
      <c r="O30" s="39"/>
      <c r="P30" s="78" t="s">
        <v>58</v>
      </c>
      <c r="Q30" s="78"/>
      <c r="R30" s="78"/>
      <c r="S30" s="78"/>
      <c r="T30" s="61"/>
      <c r="U30" s="50"/>
      <c r="V30" s="70">
        <f>V28+V29</f>
        <v>-19161.199999999997</v>
      </c>
      <c r="W30" s="52">
        <f>W28+W29</f>
        <v>59.875199999999175</v>
      </c>
      <c r="X30" s="53">
        <f>X28+X29</f>
        <v>17208.077699999998</v>
      </c>
    </row>
    <row r="31" spans="1:24" x14ac:dyDescent="0.3">
      <c r="A31" s="57" t="s">
        <v>24</v>
      </c>
      <c r="B31" s="58">
        <f>B30*-0.22</f>
        <v>-2464</v>
      </c>
      <c r="C31" s="59">
        <f t="shared" ref="C31:D31" si="18">C30*-0.22</f>
        <v>-2464</v>
      </c>
      <c r="D31" s="60">
        <f t="shared" si="18"/>
        <v>-2464</v>
      </c>
      <c r="E31" s="61"/>
      <c r="F31" s="78" t="s">
        <v>58</v>
      </c>
      <c r="G31" s="78"/>
      <c r="H31" s="78"/>
      <c r="I31" s="78"/>
      <c r="J31" s="12"/>
      <c r="K31" s="78" t="s">
        <v>58</v>
      </c>
      <c r="L31" s="78"/>
      <c r="M31" s="78"/>
      <c r="N31" s="78"/>
      <c r="O31" s="12"/>
      <c r="P31" s="62" t="s">
        <v>23</v>
      </c>
      <c r="Q31" s="54">
        <f>2800*4</f>
        <v>11200</v>
      </c>
      <c r="R31" s="55">
        <f>2800*4</f>
        <v>11200</v>
      </c>
      <c r="S31" s="56">
        <f>2800*4</f>
        <v>11200</v>
      </c>
      <c r="T31" s="61"/>
      <c r="U31" s="82"/>
      <c r="V31" s="36"/>
      <c r="W31" s="37"/>
      <c r="X31" s="38"/>
    </row>
    <row r="32" spans="1:24" x14ac:dyDescent="0.3">
      <c r="A32" s="62" t="s">
        <v>60</v>
      </c>
      <c r="B32" s="63">
        <f>B30+B31</f>
        <v>8736</v>
      </c>
      <c r="C32" s="64">
        <f t="shared" ref="C32:D32" si="19">C30+C31</f>
        <v>8736</v>
      </c>
      <c r="D32" s="65">
        <f t="shared" si="19"/>
        <v>8736</v>
      </c>
      <c r="E32" s="61"/>
      <c r="F32" s="62" t="s">
        <v>23</v>
      </c>
      <c r="G32" s="54">
        <f>2800*4</f>
        <v>11200</v>
      </c>
      <c r="H32" s="55">
        <f>2800*4</f>
        <v>11200</v>
      </c>
      <c r="I32" s="56">
        <f>2800*4</f>
        <v>11200</v>
      </c>
      <c r="J32" s="61"/>
      <c r="K32" s="62" t="s">
        <v>23</v>
      </c>
      <c r="L32" s="54">
        <f>2800*4</f>
        <v>11200</v>
      </c>
      <c r="M32" s="55">
        <f>2800*4</f>
        <v>11200</v>
      </c>
      <c r="N32" s="56">
        <f>2800*4</f>
        <v>11200</v>
      </c>
      <c r="O32" s="61"/>
      <c r="P32" s="57" t="s">
        <v>24</v>
      </c>
      <c r="Q32" s="58">
        <f>Q31*-0.22</f>
        <v>-2464</v>
      </c>
      <c r="R32" s="59">
        <f t="shared" ref="R32:S32" si="20">R31*-0.22</f>
        <v>-2464</v>
      </c>
      <c r="S32" s="60">
        <f t="shared" si="20"/>
        <v>-2464</v>
      </c>
      <c r="T32" s="61"/>
      <c r="U32" s="78" t="s">
        <v>58</v>
      </c>
      <c r="V32" s="78"/>
      <c r="W32" s="78"/>
      <c r="X32" s="78"/>
    </row>
    <row r="33" spans="1:24" x14ac:dyDescent="0.3">
      <c r="A33" s="24"/>
      <c r="B33" s="25"/>
      <c r="C33" s="26"/>
      <c r="D33" s="27"/>
      <c r="E33" s="12"/>
      <c r="F33" s="57" t="s">
        <v>24</v>
      </c>
      <c r="G33" s="58">
        <f>G32*-0.22</f>
        <v>-2464</v>
      </c>
      <c r="H33" s="59">
        <f t="shared" ref="H33:I33" si="21">H32*-0.22</f>
        <v>-2464</v>
      </c>
      <c r="I33" s="60">
        <f t="shared" si="21"/>
        <v>-2464</v>
      </c>
      <c r="J33" s="61"/>
      <c r="K33" s="57" t="s">
        <v>24</v>
      </c>
      <c r="L33" s="58">
        <f>L32*-0.22</f>
        <v>-2464</v>
      </c>
      <c r="M33" s="59">
        <f t="shared" ref="M33:N33" si="22">M32*-0.22</f>
        <v>-2464</v>
      </c>
      <c r="N33" s="60">
        <f t="shared" si="22"/>
        <v>-2464</v>
      </c>
      <c r="O33" s="61"/>
      <c r="P33" s="62"/>
      <c r="Q33" s="63">
        <f>Q31+Q32</f>
        <v>8736</v>
      </c>
      <c r="R33" s="64">
        <f t="shared" ref="R33:S33" si="23">R31+R32</f>
        <v>8736</v>
      </c>
      <c r="S33" s="65">
        <f t="shared" si="23"/>
        <v>8736</v>
      </c>
      <c r="T33" s="12"/>
      <c r="U33" s="62" t="s">
        <v>23</v>
      </c>
      <c r="V33" s="54">
        <f>2800*4</f>
        <v>11200</v>
      </c>
      <c r="W33" s="55">
        <f>2800*4</f>
        <v>11200</v>
      </c>
      <c r="X33" s="56">
        <f>2800*4</f>
        <v>11200</v>
      </c>
    </row>
    <row r="34" spans="1:24" x14ac:dyDescent="0.3">
      <c r="A34" s="78" t="s">
        <v>57</v>
      </c>
      <c r="B34" s="78"/>
      <c r="C34" s="78"/>
      <c r="D34" s="78"/>
      <c r="E34" s="12"/>
      <c r="F34" s="62"/>
      <c r="G34" s="63">
        <f>G32+G33</f>
        <v>8736</v>
      </c>
      <c r="H34" s="64">
        <f t="shared" ref="H34:I34" si="24">H32+H33</f>
        <v>8736</v>
      </c>
      <c r="I34" s="65">
        <f t="shared" si="24"/>
        <v>8736</v>
      </c>
      <c r="J34" s="61"/>
      <c r="K34" s="62"/>
      <c r="L34" s="63">
        <f>L32+L33</f>
        <v>8736</v>
      </c>
      <c r="M34" s="64">
        <f t="shared" ref="M34:N34" si="25">M32+M33</f>
        <v>8736</v>
      </c>
      <c r="N34" s="65">
        <f t="shared" si="25"/>
        <v>8736</v>
      </c>
      <c r="O34" s="61"/>
      <c r="P34" s="62"/>
      <c r="Q34" s="63"/>
      <c r="R34" s="64"/>
      <c r="S34" s="65"/>
      <c r="T34" s="12"/>
      <c r="U34" s="57" t="s">
        <v>24</v>
      </c>
      <c r="V34" s="58">
        <f>V33*-0.22</f>
        <v>-2464</v>
      </c>
      <c r="W34" s="59">
        <f t="shared" ref="W34:X34" si="26">W33*-0.22</f>
        <v>-2464</v>
      </c>
      <c r="X34" s="60">
        <f t="shared" si="26"/>
        <v>-2464</v>
      </c>
    </row>
    <row r="35" spans="1:24" x14ac:dyDescent="0.3">
      <c r="A35" s="40" t="s">
        <v>25</v>
      </c>
      <c r="B35" s="36">
        <f>B27</f>
        <v>1900.15</v>
      </c>
      <c r="C35" s="37">
        <f>C27</f>
        <v>5074.6499999999996</v>
      </c>
      <c r="D35" s="38">
        <f>D27</f>
        <v>7022.4</v>
      </c>
      <c r="E35" s="61"/>
      <c r="F35" s="62"/>
      <c r="G35" s="63"/>
      <c r="H35" s="64"/>
      <c r="I35" s="65"/>
      <c r="J35" s="61"/>
      <c r="K35" s="62"/>
      <c r="L35" s="63"/>
      <c r="M35" s="64"/>
      <c r="N35" s="65"/>
      <c r="O35" s="61"/>
      <c r="P35" s="78" t="s">
        <v>57</v>
      </c>
      <c r="Q35" s="78"/>
      <c r="R35" s="78"/>
      <c r="S35" s="78"/>
      <c r="T35" s="61"/>
      <c r="U35" s="62"/>
      <c r="V35" s="63">
        <f>V33+V34</f>
        <v>8736</v>
      </c>
      <c r="W35" s="64">
        <f t="shared" ref="W35:X35" si="27">W33+W34</f>
        <v>8736</v>
      </c>
      <c r="X35" s="65">
        <f t="shared" si="27"/>
        <v>8736</v>
      </c>
    </row>
    <row r="36" spans="1:24" ht="15" thickBot="1" x14ac:dyDescent="0.35">
      <c r="A36" s="66" t="s">
        <v>26</v>
      </c>
      <c r="B36" s="67">
        <f>B32</f>
        <v>8736</v>
      </c>
      <c r="C36" s="68">
        <f>C32</f>
        <v>8736</v>
      </c>
      <c r="D36" s="69">
        <f>D32</f>
        <v>8736</v>
      </c>
      <c r="E36" s="39"/>
      <c r="F36" s="78" t="s">
        <v>57</v>
      </c>
      <c r="G36" s="78"/>
      <c r="H36" s="78"/>
      <c r="I36" s="78"/>
      <c r="J36" s="12"/>
      <c r="K36" s="78" t="s">
        <v>57</v>
      </c>
      <c r="L36" s="78"/>
      <c r="M36" s="78"/>
      <c r="N36" s="78"/>
      <c r="O36" s="12"/>
      <c r="P36" s="40" t="s">
        <v>25</v>
      </c>
      <c r="Q36" s="36">
        <f>Q28</f>
        <v>-10034.899999999998</v>
      </c>
      <c r="R36" s="37">
        <f>R28</f>
        <v>5067.3356999999996</v>
      </c>
      <c r="S36" s="38">
        <f>S28</f>
        <v>23390.297699999999</v>
      </c>
      <c r="T36" s="39"/>
      <c r="U36" s="62"/>
      <c r="V36" s="63"/>
      <c r="W36" s="64"/>
      <c r="X36" s="65"/>
    </row>
    <row r="37" spans="1:24" ht="15.6" thickTop="1" thickBot="1" x14ac:dyDescent="0.35">
      <c r="A37" s="50" t="s">
        <v>27</v>
      </c>
      <c r="B37" s="51">
        <f>B35+B36</f>
        <v>10636.15</v>
      </c>
      <c r="C37" s="52">
        <f t="shared" ref="C37:D37" si="28">C35+C36</f>
        <v>13810.65</v>
      </c>
      <c r="D37" s="53">
        <f t="shared" si="28"/>
        <v>15758.4</v>
      </c>
      <c r="E37" s="12"/>
      <c r="F37" s="40" t="s">
        <v>25</v>
      </c>
      <c r="G37" s="36">
        <f>G29</f>
        <v>-11161.199999999997</v>
      </c>
      <c r="H37" s="37">
        <f>H29</f>
        <v>4974.0641999999989</v>
      </c>
      <c r="I37" s="38">
        <f>I29</f>
        <v>23478.077699999998</v>
      </c>
      <c r="J37" s="12"/>
      <c r="K37" s="40" t="s">
        <v>25</v>
      </c>
      <c r="L37" s="36">
        <f>L29</f>
        <v>-16929.199999999997</v>
      </c>
      <c r="M37" s="37">
        <f>M29</f>
        <v>1703.6081999999992</v>
      </c>
      <c r="N37" s="38">
        <f>N29</f>
        <v>19861.541700000002</v>
      </c>
      <c r="O37" s="12"/>
      <c r="P37" s="66" t="s">
        <v>26</v>
      </c>
      <c r="Q37" s="67">
        <f>Q33</f>
        <v>8736</v>
      </c>
      <c r="R37" s="68">
        <f>R33</f>
        <v>8736</v>
      </c>
      <c r="S37" s="69">
        <f>S33</f>
        <v>8736</v>
      </c>
      <c r="T37" s="12"/>
      <c r="U37" s="78" t="s">
        <v>57</v>
      </c>
      <c r="V37" s="78"/>
      <c r="W37" s="78"/>
      <c r="X37" s="78"/>
    </row>
    <row r="38" spans="1:24" ht="15.6" thickTop="1" thickBot="1" x14ac:dyDescent="0.35">
      <c r="A38" s="24"/>
      <c r="B38" s="25"/>
      <c r="C38" s="26"/>
      <c r="D38" s="27"/>
      <c r="E38" s="12"/>
      <c r="F38" s="66" t="s">
        <v>26</v>
      </c>
      <c r="G38" s="67">
        <f>G34</f>
        <v>8736</v>
      </c>
      <c r="H38" s="68">
        <f>H34</f>
        <v>8736</v>
      </c>
      <c r="I38" s="69">
        <f>I34</f>
        <v>8736</v>
      </c>
      <c r="J38" s="61"/>
      <c r="K38" s="66" t="s">
        <v>26</v>
      </c>
      <c r="L38" s="67">
        <f>L34</f>
        <v>8736</v>
      </c>
      <c r="M38" s="68">
        <f>M34</f>
        <v>8736</v>
      </c>
      <c r="N38" s="69">
        <f>N34</f>
        <v>8736</v>
      </c>
      <c r="O38" s="61"/>
      <c r="P38" s="50" t="s">
        <v>27</v>
      </c>
      <c r="Q38" s="70">
        <f>Q36+Q37</f>
        <v>-1298.8999999999978</v>
      </c>
      <c r="R38" s="52">
        <f t="shared" ref="R38:S38" si="29">R36+R37</f>
        <v>13803.3357</v>
      </c>
      <c r="S38" s="53">
        <f t="shared" si="29"/>
        <v>32126.297699999999</v>
      </c>
      <c r="T38" s="12"/>
      <c r="U38" s="40" t="s">
        <v>25</v>
      </c>
      <c r="V38" s="36">
        <f>V30</f>
        <v>-19161.199999999997</v>
      </c>
      <c r="W38" s="37">
        <f>W30</f>
        <v>59.875199999999175</v>
      </c>
      <c r="X38" s="38">
        <f>X30</f>
        <v>17208.077699999998</v>
      </c>
    </row>
    <row r="39" spans="1:24" ht="15.6" thickTop="1" thickBot="1" x14ac:dyDescent="0.35">
      <c r="A39" s="12"/>
      <c r="B39" s="12"/>
      <c r="C39" s="12"/>
      <c r="D39" s="12"/>
      <c r="E39" s="12"/>
      <c r="F39" s="50" t="s">
        <v>27</v>
      </c>
      <c r="G39" s="70">
        <f>G37+G38</f>
        <v>-2425.1999999999971</v>
      </c>
      <c r="H39" s="52">
        <f t="shared" ref="H39:I39" si="30">H37+H38</f>
        <v>13710.064199999999</v>
      </c>
      <c r="I39" s="53">
        <f t="shared" si="30"/>
        <v>32214.077699999998</v>
      </c>
      <c r="J39" s="39"/>
      <c r="K39" s="50" t="s">
        <v>27</v>
      </c>
      <c r="L39" s="70">
        <f>L37+L38</f>
        <v>-8193.1999999999971</v>
      </c>
      <c r="M39" s="52">
        <f t="shared" ref="M39:N39" si="31">M37+M38</f>
        <v>10439.608199999999</v>
      </c>
      <c r="N39" s="53">
        <f t="shared" si="31"/>
        <v>28597.541700000002</v>
      </c>
      <c r="O39" s="39"/>
      <c r="P39" s="24"/>
      <c r="Q39" s="25"/>
      <c r="R39" s="26"/>
      <c r="S39" s="27"/>
      <c r="T39" s="12"/>
      <c r="U39" s="66" t="s">
        <v>26</v>
      </c>
      <c r="V39" s="67">
        <f>V35</f>
        <v>8736</v>
      </c>
      <c r="W39" s="68">
        <f>W35</f>
        <v>8736</v>
      </c>
      <c r="X39" s="69">
        <f>X35</f>
        <v>8736</v>
      </c>
    </row>
    <row r="40" spans="1:24" ht="15" thickTop="1" x14ac:dyDescent="0.3">
      <c r="A40" s="12"/>
      <c r="B40" s="12"/>
      <c r="C40" s="12"/>
      <c r="D40" s="12"/>
      <c r="E40" s="12"/>
      <c r="F40" s="24"/>
      <c r="G40" s="25"/>
      <c r="H40" s="26"/>
      <c r="I40" s="27"/>
      <c r="J40" s="12"/>
      <c r="K40" s="24"/>
      <c r="L40" s="25"/>
      <c r="M40" s="26"/>
      <c r="N40" s="27"/>
      <c r="O40" s="12"/>
      <c r="P40" s="12"/>
      <c r="Q40" s="12"/>
      <c r="R40" s="12"/>
      <c r="S40" s="12"/>
      <c r="T40" s="12"/>
      <c r="U40" s="50" t="s">
        <v>27</v>
      </c>
      <c r="V40" s="70">
        <f>V38+V39</f>
        <v>-10425.199999999997</v>
      </c>
      <c r="W40" s="52">
        <f t="shared" ref="W40:X40" si="32">W38+W39</f>
        <v>8795.8751999999986</v>
      </c>
      <c r="X40" s="53">
        <f t="shared" si="32"/>
        <v>25944.077699999998</v>
      </c>
    </row>
    <row r="41" spans="1:24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4"/>
      <c r="V41" s="25"/>
      <c r="W41" s="26"/>
      <c r="X41" s="27"/>
    </row>
    <row r="42" spans="1:24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x14ac:dyDescent="0.3">
      <c r="U43" s="12"/>
      <c r="V43" s="12"/>
      <c r="W43" s="12"/>
      <c r="X43" s="12"/>
    </row>
    <row r="44" spans="1:24" x14ac:dyDescent="0.3">
      <c r="U44" s="12"/>
      <c r="V44" s="12"/>
      <c r="W44" s="12"/>
      <c r="X44" s="12"/>
    </row>
    <row r="45" spans="1:24" x14ac:dyDescent="0.3">
      <c r="U45" s="12"/>
      <c r="V45" s="12"/>
      <c r="W45" s="12"/>
      <c r="X45" s="12"/>
    </row>
    <row r="46" spans="1:24" x14ac:dyDescent="0.3">
      <c r="U46" s="12"/>
      <c r="V46" s="12"/>
      <c r="W46" s="12"/>
      <c r="X46" s="12"/>
    </row>
    <row r="47" spans="1:24" x14ac:dyDescent="0.3">
      <c r="U47" s="12"/>
      <c r="V47" s="12"/>
      <c r="W47" s="12"/>
      <c r="X47" s="12"/>
    </row>
  </sheetData>
  <mergeCells count="40">
    <mergeCell ref="A34:D34"/>
    <mergeCell ref="P35:S35"/>
    <mergeCell ref="F36:I36"/>
    <mergeCell ref="K36:N36"/>
    <mergeCell ref="U37:X37"/>
    <mergeCell ref="U27:X27"/>
    <mergeCell ref="A29:D29"/>
    <mergeCell ref="P30:S30"/>
    <mergeCell ref="F31:I31"/>
    <mergeCell ref="K31:N31"/>
    <mergeCell ref="U32:X32"/>
    <mergeCell ref="F20:I20"/>
    <mergeCell ref="K20:N20"/>
    <mergeCell ref="U21:X21"/>
    <mergeCell ref="A24:D24"/>
    <mergeCell ref="P25:S25"/>
    <mergeCell ref="F26:I26"/>
    <mergeCell ref="K26:N26"/>
    <mergeCell ref="P14:S14"/>
    <mergeCell ref="F15:I15"/>
    <mergeCell ref="K15:N15"/>
    <mergeCell ref="U16:X16"/>
    <mergeCell ref="A18:D18"/>
    <mergeCell ref="P19:S19"/>
    <mergeCell ref="A8:D8"/>
    <mergeCell ref="F8:I8"/>
    <mergeCell ref="K8:N8"/>
    <mergeCell ref="P8:S8"/>
    <mergeCell ref="U8:X8"/>
    <mergeCell ref="A13:D13"/>
    <mergeCell ref="A1:D1"/>
    <mergeCell ref="F1:I1"/>
    <mergeCell ref="K1:N1"/>
    <mergeCell ref="P1:S1"/>
    <mergeCell ref="U1:X1"/>
    <mergeCell ref="A3:D3"/>
    <mergeCell ref="F3:I3"/>
    <mergeCell ref="K3:N3"/>
    <mergeCell ref="P3:S3"/>
    <mergeCell ref="U3:X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E07E-FA16-4DC3-8244-2CCD79EB98FB}">
  <dimension ref="A1:I23"/>
  <sheetViews>
    <sheetView tabSelected="1" zoomScale="120" zoomScaleNormal="120" workbookViewId="0">
      <selection activeCell="C21" sqref="C21"/>
    </sheetView>
  </sheetViews>
  <sheetFormatPr defaultRowHeight="14.4" x14ac:dyDescent="0.3"/>
  <cols>
    <col min="1" max="1" width="22.6640625" bestFit="1" customWidth="1"/>
    <col min="2" max="2" width="13.77734375" bestFit="1" customWidth="1"/>
    <col min="3" max="3" width="15.109375" bestFit="1" customWidth="1"/>
    <col min="4" max="4" width="11.44140625" bestFit="1" customWidth="1"/>
    <col min="6" max="6" width="22.6640625" bestFit="1" customWidth="1"/>
    <col min="7" max="7" width="13.77734375" bestFit="1" customWidth="1"/>
    <col min="8" max="8" width="15.109375" bestFit="1" customWidth="1"/>
    <col min="9" max="9" width="11.44140625" bestFit="1" customWidth="1"/>
  </cols>
  <sheetData>
    <row r="1" spans="1:9" ht="18" x14ac:dyDescent="0.35">
      <c r="A1" s="79" t="s">
        <v>64</v>
      </c>
      <c r="B1" s="79"/>
      <c r="C1" s="79"/>
      <c r="D1" s="79"/>
      <c r="F1" s="79" t="s">
        <v>65</v>
      </c>
      <c r="G1" s="79"/>
      <c r="H1" s="79"/>
      <c r="I1" s="79"/>
    </row>
    <row r="2" spans="1:9" x14ac:dyDescent="0.3">
      <c r="A2" s="4"/>
      <c r="B2" s="9" t="s">
        <v>3</v>
      </c>
      <c r="C2" s="10" t="s">
        <v>5</v>
      </c>
      <c r="D2" s="11" t="s">
        <v>4</v>
      </c>
      <c r="F2" s="4"/>
      <c r="G2" s="9" t="s">
        <v>3</v>
      </c>
      <c r="H2" s="10" t="s">
        <v>5</v>
      </c>
      <c r="I2" s="11" t="s">
        <v>4</v>
      </c>
    </row>
    <row r="3" spans="1:9" ht="18" x14ac:dyDescent="0.35">
      <c r="A3" s="80" t="s">
        <v>62</v>
      </c>
      <c r="B3" s="80"/>
      <c r="C3" s="80"/>
      <c r="D3" s="80"/>
      <c r="F3" s="80" t="s">
        <v>62</v>
      </c>
      <c r="G3" s="80"/>
      <c r="H3" s="80"/>
      <c r="I3" s="80"/>
    </row>
    <row r="4" spans="1:9" x14ac:dyDescent="0.3">
      <c r="A4" s="5" t="s">
        <v>38</v>
      </c>
      <c r="B4" s="6">
        <f>'[1]Breakdown #1'!B27</f>
        <v>619.15</v>
      </c>
      <c r="C4" s="7">
        <f>'[1]Breakdown #1'!C27</f>
        <v>1672.65</v>
      </c>
      <c r="D4" s="3">
        <f>'[1]Breakdown #1'!D27</f>
        <v>2319.9</v>
      </c>
      <c r="F4" s="5" t="s">
        <v>38</v>
      </c>
      <c r="G4" s="6">
        <f>'[1]Breakdown #1'!B37</f>
        <v>9355.15</v>
      </c>
      <c r="H4" s="7">
        <f>'[1]Breakdown #1'!C37</f>
        <v>10408.65</v>
      </c>
      <c r="I4" s="3">
        <f>'[1]Breakdown #1'!D37</f>
        <v>11055.9</v>
      </c>
    </row>
    <row r="5" spans="1:9" x14ac:dyDescent="0.3">
      <c r="A5" s="5" t="s">
        <v>43</v>
      </c>
      <c r="B5" s="75">
        <f>'[1]Breakdown #1'!G29</f>
        <v>-6954.8000000000011</v>
      </c>
      <c r="C5" s="84">
        <f>'[1]Breakdown #1'!H29</f>
        <v>-554.60000000000036</v>
      </c>
      <c r="D5" s="8">
        <f>'[1]Breakdown #1'!I29</f>
        <v>7595.6233000000011</v>
      </c>
      <c r="F5" s="5" t="s">
        <v>43</v>
      </c>
      <c r="G5" s="30">
        <f>'[1]Breakdown #1'!G39</f>
        <v>1781.1999999999989</v>
      </c>
      <c r="H5" s="2">
        <f>'[1]Breakdown #1'!H39</f>
        <v>8181.4</v>
      </c>
      <c r="I5" s="8">
        <f>'[1]Breakdown #1'!I39</f>
        <v>16331.623300000001</v>
      </c>
    </row>
    <row r="6" spans="1:9" x14ac:dyDescent="0.3">
      <c r="A6" s="5" t="s">
        <v>45</v>
      </c>
      <c r="B6" s="75">
        <f>'[1]Breakdown #1'!L29</f>
        <v>-9426.7999999999993</v>
      </c>
      <c r="C6" s="84">
        <f>'[1]Breakdown #1'!M29</f>
        <v>-3026.5999999999985</v>
      </c>
      <c r="D6" s="74">
        <f>'[1]Breakdown #1'!N29</f>
        <v>5798.4793000000009</v>
      </c>
      <c r="F6" s="5" t="s">
        <v>45</v>
      </c>
      <c r="G6" s="75">
        <f>'[1]Breakdown #1'!L39</f>
        <v>-690.79999999999927</v>
      </c>
      <c r="H6" s="2">
        <f>'[1]Breakdown #1'!M39</f>
        <v>5709.4000000000015</v>
      </c>
      <c r="I6" s="74">
        <f>'[1]Breakdown #1'!N39</f>
        <v>14534.479300000001</v>
      </c>
    </row>
    <row r="7" spans="1:9" x14ac:dyDescent="0.3">
      <c r="A7" s="5" t="s">
        <v>44</v>
      </c>
      <c r="B7" s="75">
        <f>'[1]Breakdown #1'!Q29</f>
        <v>-6472.1</v>
      </c>
      <c r="C7" s="84">
        <f>'[1]Breakdown #1'!R29</f>
        <v>-484.10000000000036</v>
      </c>
      <c r="D7" s="74">
        <f>'[1]Breakdown #1'!S29</f>
        <v>7552.0033000000012</v>
      </c>
      <c r="F7" s="5" t="s">
        <v>44</v>
      </c>
      <c r="G7" s="30">
        <f>'[1]Breakdown #1'!Q39</f>
        <v>2263.8999999999996</v>
      </c>
      <c r="H7" s="85">
        <f>'[1]Breakdown #1'!R39</f>
        <v>8251.9</v>
      </c>
      <c r="I7" s="74">
        <f>'[1]Breakdown #1'!S39</f>
        <v>16288.0033</v>
      </c>
    </row>
    <row r="8" spans="1:9" x14ac:dyDescent="0.3">
      <c r="A8" s="5" t="s">
        <v>46</v>
      </c>
      <c r="B8" s="1">
        <f>'[1]Breakdown #1'!V30</f>
        <v>-14954.8</v>
      </c>
      <c r="C8" s="81">
        <f>'[1]Breakdown #1'!W30</f>
        <v>-9221.5999999999985</v>
      </c>
      <c r="D8" s="86">
        <f>'[1]Breakdown #1'!X30</f>
        <v>325.62330000000105</v>
      </c>
      <c r="F8" s="5" t="s">
        <v>46</v>
      </c>
      <c r="G8" s="1">
        <f>'[1]Breakdown #1'!V40</f>
        <v>-6218.7999999999993</v>
      </c>
      <c r="H8" s="81">
        <f>'[1]Breakdown #1'!W40</f>
        <v>-485.59999999999854</v>
      </c>
      <c r="I8" s="86">
        <f>'[1]Breakdown #1'!X40</f>
        <v>9061.6233000000011</v>
      </c>
    </row>
    <row r="9" spans="1:9" x14ac:dyDescent="0.3">
      <c r="A9" s="5"/>
      <c r="B9" s="1"/>
      <c r="C9" s="87"/>
      <c r="D9" s="86"/>
      <c r="F9" s="5"/>
      <c r="G9" s="36"/>
      <c r="H9" s="87"/>
      <c r="I9" s="86"/>
    </row>
    <row r="10" spans="1:9" ht="18" x14ac:dyDescent="0.35">
      <c r="A10" s="80" t="s">
        <v>61</v>
      </c>
      <c r="B10" s="80"/>
      <c r="C10" s="80"/>
      <c r="D10" s="80"/>
      <c r="F10" s="80" t="s">
        <v>61</v>
      </c>
      <c r="G10" s="80"/>
      <c r="H10" s="80"/>
      <c r="I10" s="80"/>
    </row>
    <row r="11" spans="1:9" x14ac:dyDescent="0.3">
      <c r="A11" s="5" t="s">
        <v>38</v>
      </c>
      <c r="B11" s="76">
        <f>'[1]Breakdown #2'!B27</f>
        <v>1259.6500000000001</v>
      </c>
      <c r="C11" s="7">
        <f>'[1]Breakdown #2'!C27</f>
        <v>3373.65</v>
      </c>
      <c r="D11" s="3">
        <f>'[1]Breakdown #2'!D27</f>
        <v>4671.1499999999996</v>
      </c>
      <c r="F11" s="5" t="s">
        <v>38</v>
      </c>
      <c r="G11" s="76">
        <f>'[1]Breakdown #2'!B37</f>
        <v>9995.65</v>
      </c>
      <c r="H11" s="7">
        <f>'[1]Breakdown #2'!C37</f>
        <v>12109.65</v>
      </c>
      <c r="I11" s="3">
        <f>'[1]Breakdown #2'!D37</f>
        <v>13407.15</v>
      </c>
    </row>
    <row r="12" spans="1:9" x14ac:dyDescent="0.3">
      <c r="A12" s="5" t="s">
        <v>47</v>
      </c>
      <c r="B12" s="75">
        <f>'[1]Breakdown #2'!G29</f>
        <v>-11831.600000000002</v>
      </c>
      <c r="C12" s="85">
        <f>'[1]Breakdown #2'!H29</f>
        <v>646.18959999999947</v>
      </c>
      <c r="D12" s="8">
        <f>'[1]Breakdown #2'!I29</f>
        <v>16701.952600000004</v>
      </c>
      <c r="F12" s="5" t="s">
        <v>47</v>
      </c>
      <c r="G12" s="75">
        <f>'[1]Breakdown #2'!G39</f>
        <v>-3095.6000000000022</v>
      </c>
      <c r="H12" s="85">
        <f>'[1]Breakdown #2'!H39</f>
        <v>9382.1895999999997</v>
      </c>
      <c r="I12" s="8">
        <f>'[1]Breakdown #2'!I39</f>
        <v>25437.952600000004</v>
      </c>
    </row>
    <row r="13" spans="1:9" x14ac:dyDescent="0.3">
      <c r="A13" s="5" t="s">
        <v>49</v>
      </c>
      <c r="B13" s="75">
        <f>'[1]Breakdown #2'!L29</f>
        <v>-14303.600000000002</v>
      </c>
      <c r="C13" s="84">
        <f>'[1]Breakdown #2'!M29</f>
        <v>-1503.2000000000007</v>
      </c>
      <c r="D13" s="74">
        <f>'[1]Breakdown #2'!N29</f>
        <v>14904.808600000002</v>
      </c>
      <c r="F13" s="5" t="s">
        <v>49</v>
      </c>
      <c r="G13" s="75">
        <f>'[1]Breakdown #2'!L39</f>
        <v>-5567.6000000000022</v>
      </c>
      <c r="H13" s="2">
        <f>'[1]Breakdown #2'!M39</f>
        <v>7232.7999999999993</v>
      </c>
      <c r="I13" s="74">
        <f>'[1]Breakdown #2'!N39</f>
        <v>23640.808600000004</v>
      </c>
    </row>
    <row r="14" spans="1:9" x14ac:dyDescent="0.3">
      <c r="A14" s="5" t="s">
        <v>48</v>
      </c>
      <c r="B14" s="75">
        <f>'[1]Breakdown #2'!Q29</f>
        <v>-12894.2</v>
      </c>
      <c r="C14" s="84">
        <f>'[1]Breakdown #2'!R29</f>
        <v>-918.20000000000073</v>
      </c>
      <c r="D14" s="3">
        <f>'[1]Breakdown #2'!S29</f>
        <v>15140.356600000003</v>
      </c>
      <c r="F14" s="5" t="s">
        <v>48</v>
      </c>
      <c r="G14" s="75">
        <f>'[1]Breakdown #2'!Q39</f>
        <v>-4158.2000000000007</v>
      </c>
      <c r="H14" s="2">
        <f>'[1]Breakdown #2'!R39</f>
        <v>7817.7999999999993</v>
      </c>
      <c r="I14" s="3">
        <f>'[1]Breakdown #2'!S39</f>
        <v>23876.356600000003</v>
      </c>
    </row>
    <row r="15" spans="1:9" x14ac:dyDescent="0.3">
      <c r="A15" s="5" t="s">
        <v>50</v>
      </c>
      <c r="B15" s="1">
        <f>'[1]Breakdown #2'!V30</f>
        <v>-19831.599999999999</v>
      </c>
      <c r="C15" s="81">
        <f>'[1]Breakdown #2'!W30</f>
        <v>-7698.1999999999971</v>
      </c>
      <c r="D15" s="86">
        <f>'[1]Breakdown #2'!X30</f>
        <v>9431.9526000000023</v>
      </c>
      <c r="F15" s="5" t="s">
        <v>50</v>
      </c>
      <c r="G15" s="1">
        <f>'[1]Breakdown #2'!V40</f>
        <v>-11095.599999999999</v>
      </c>
      <c r="H15" s="87">
        <f>'[1]Breakdown #2'!W40</f>
        <v>1037.8000000000029</v>
      </c>
      <c r="I15" s="86">
        <f>'[1]Breakdown #2'!X40</f>
        <v>18167.952600000004</v>
      </c>
    </row>
    <row r="16" spans="1:9" x14ac:dyDescent="0.3">
      <c r="A16" s="5"/>
      <c r="B16" s="1"/>
      <c r="C16" s="87"/>
      <c r="D16" s="86"/>
      <c r="F16" s="5"/>
      <c r="G16" s="1"/>
      <c r="H16" s="87"/>
      <c r="I16" s="86"/>
    </row>
    <row r="17" spans="1:9" ht="18" x14ac:dyDescent="0.35">
      <c r="A17" s="80" t="s">
        <v>63</v>
      </c>
      <c r="B17" s="80"/>
      <c r="C17" s="80"/>
      <c r="D17" s="80"/>
      <c r="F17" s="80" t="s">
        <v>63</v>
      </c>
      <c r="G17" s="80"/>
      <c r="H17" s="80"/>
      <c r="I17" s="80"/>
    </row>
    <row r="18" spans="1:9" x14ac:dyDescent="0.3">
      <c r="A18" s="5" t="s">
        <v>38</v>
      </c>
      <c r="B18" s="6">
        <f>'[1]Breakdown #3'!B27</f>
        <v>1900.15</v>
      </c>
      <c r="C18" s="7">
        <f>'[1]Breakdown #3'!C27</f>
        <v>5074.6499999999996</v>
      </c>
      <c r="D18" s="74">
        <f>'[1]Breakdown #3'!D27</f>
        <v>7022.4</v>
      </c>
      <c r="F18" s="5" t="s">
        <v>38</v>
      </c>
      <c r="G18" s="6">
        <f>'[1]Breakdown #3'!B37</f>
        <v>10636.15</v>
      </c>
      <c r="H18" s="7">
        <f>'[1]Breakdown #3'!C37</f>
        <v>13810.65</v>
      </c>
      <c r="I18" s="74">
        <f>'[1]Breakdown #3'!D37</f>
        <v>15758.4</v>
      </c>
    </row>
    <row r="19" spans="1:9" x14ac:dyDescent="0.3">
      <c r="A19" s="5" t="s">
        <v>40</v>
      </c>
      <c r="B19" s="75">
        <f>'[1]Breakdown #3'!G29</f>
        <v>-11161.199999999997</v>
      </c>
      <c r="C19" s="2">
        <f>'[1]Breakdown #3'!H29</f>
        <v>4974.0641999999989</v>
      </c>
      <c r="D19" s="8">
        <f>'[1]Breakdown #3'!I29</f>
        <v>23478.077699999998</v>
      </c>
      <c r="F19" s="5" t="s">
        <v>40</v>
      </c>
      <c r="G19" s="75">
        <f>'[1]Breakdown #3'!G39</f>
        <v>-2425.1999999999971</v>
      </c>
      <c r="H19" s="2">
        <f>'[1]Breakdown #3'!H39</f>
        <v>13710.064199999999</v>
      </c>
      <c r="I19" s="8">
        <f>'[1]Breakdown #3'!I39</f>
        <v>32214.077699999998</v>
      </c>
    </row>
    <row r="20" spans="1:9" x14ac:dyDescent="0.3">
      <c r="A20" s="5" t="s">
        <v>39</v>
      </c>
      <c r="B20" s="75">
        <f>'[1]Breakdown #3'!L29</f>
        <v>-16929.199999999997</v>
      </c>
      <c r="C20" s="2">
        <f>'[1]Breakdown #3'!M29</f>
        <v>1703.6081999999992</v>
      </c>
      <c r="D20" s="74">
        <f>'[1]Breakdown #3'!N29</f>
        <v>19861.541700000002</v>
      </c>
      <c r="F20" s="5" t="s">
        <v>39</v>
      </c>
      <c r="G20" s="75">
        <f>'[1]Breakdown #3'!L39</f>
        <v>-8193.1999999999971</v>
      </c>
      <c r="H20" s="2">
        <f>'[1]Breakdown #3'!M39</f>
        <v>10439.608199999999</v>
      </c>
      <c r="I20" s="74">
        <f>'[1]Breakdown #3'!N39</f>
        <v>28597.541700000002</v>
      </c>
    </row>
    <row r="21" spans="1:9" x14ac:dyDescent="0.3">
      <c r="A21" s="5" t="s">
        <v>42</v>
      </c>
      <c r="B21" s="75">
        <f>'[1]Breakdown #3'!Q28</f>
        <v>-10034.899999999998</v>
      </c>
      <c r="C21" s="85">
        <f>'[1]Breakdown #3'!R28</f>
        <v>5067.3356999999996</v>
      </c>
      <c r="D21" s="3">
        <f>'[1]Breakdown #3'!S28</f>
        <v>23390.297699999999</v>
      </c>
      <c r="F21" s="5" t="s">
        <v>42</v>
      </c>
      <c r="G21" s="75">
        <f>'[1]Breakdown #3'!Q38</f>
        <v>-1298.8999999999978</v>
      </c>
      <c r="H21" s="2">
        <f>'[1]Breakdown #3'!R38</f>
        <v>13803.3357</v>
      </c>
      <c r="I21" s="3">
        <f>'[1]Breakdown #3'!S38</f>
        <v>32126.297699999999</v>
      </c>
    </row>
    <row r="22" spans="1:9" x14ac:dyDescent="0.3">
      <c r="A22" s="5" t="s">
        <v>41</v>
      </c>
      <c r="B22" s="1">
        <f>'[1]Breakdown #3'!V30</f>
        <v>-19161.199999999997</v>
      </c>
      <c r="C22" s="87">
        <f>'[1]Breakdown #3'!W30</f>
        <v>59.875199999999175</v>
      </c>
      <c r="D22" s="86">
        <f>'[1]Breakdown #3'!X30</f>
        <v>17208.077699999998</v>
      </c>
      <c r="F22" s="5" t="s">
        <v>41</v>
      </c>
      <c r="G22" s="1">
        <f>'[1]Breakdown #3'!V40</f>
        <v>-10425.199999999997</v>
      </c>
      <c r="H22" s="87">
        <f>'[1]Breakdown #3'!W40</f>
        <v>8795.8751999999986</v>
      </c>
      <c r="I22" s="86">
        <f>'[1]Breakdown #3'!X40</f>
        <v>25944.077699999998</v>
      </c>
    </row>
    <row r="23" spans="1:9" x14ac:dyDescent="0.3">
      <c r="A23" s="24"/>
      <c r="B23" s="25"/>
      <c r="C23" s="26"/>
      <c r="D23" s="27"/>
      <c r="F23" s="24"/>
      <c r="G23" s="25"/>
      <c r="H23" s="26"/>
      <c r="I23" s="27"/>
    </row>
  </sheetData>
  <mergeCells count="8">
    <mergeCell ref="A17:D17"/>
    <mergeCell ref="F17:I17"/>
    <mergeCell ref="A1:D1"/>
    <mergeCell ref="F1:I1"/>
    <mergeCell ref="A3:D3"/>
    <mergeCell ref="F3:I3"/>
    <mergeCell ref="A10:D10"/>
    <mergeCell ref="F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Breakdown #1</vt:lpstr>
      <vt:lpstr>Breakdown #2</vt:lpstr>
      <vt:lpstr>Breakdown #3</vt:lpstr>
      <vt:lpstr>Total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Becky</cp:lastModifiedBy>
  <cp:lastPrinted>2022-11-06T17:39:27Z</cp:lastPrinted>
  <dcterms:created xsi:type="dcterms:W3CDTF">2022-07-27T17:14:06Z</dcterms:created>
  <dcterms:modified xsi:type="dcterms:W3CDTF">2022-11-08T01:20:12Z</dcterms:modified>
</cp:coreProperties>
</file>